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<sst xmlns="http://schemas.openxmlformats.org/spreadsheetml/2006/main" count="4089" uniqueCount="1064">
  <si>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</si>
  <si>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</si>
  <si>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</si>
  <si>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</si>
  <si>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</si>
  <si>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</si>
  <si>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</si>
  <si>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</si>
  <si>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</si>
  <si>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</si>
  <si>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</si>
  <si>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</si>
  <si>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</si>
  <si>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</si>
  <si>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</si>
  <si>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</si>
  <si>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</si>
  <si>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</si>
  <si>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</si>
  <si>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</si>
  <si>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</si>
  <si>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</si>
  <si>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</si>
  <si>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</si>
  <si>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</si>
  <si>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</si>
  <si>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</si>
  <si>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</si>
  <si>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</si>
  <si>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</si>
  <si>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</si>
  <si>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</si>
  <si>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</si>
  <si>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</si>
  <si>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</si>
  <si>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</si>
  <si>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</si>
  <si>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</si>
  <si>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</si>
  <si>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</si>
  <si>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</si>
  <si>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</si>
  <si>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</si>
  <si>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</si>
  <si>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</si>
  <si>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</si>
  <si>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</si>
  <si>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</si>
  <si>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</si>
  <si>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</si>
  <si>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</si>
  <si>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</si>
  <si>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</si>
  <si>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</si>
  <si>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</si>
  <si>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</si>
  <si>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</si>
  <si>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</si>
  <si>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</si>
  <si>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</si>
  <si>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</si>
  <si>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</si>
  <si>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</si>
  <si>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</si>
  <si>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</si>
  <si>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</si>
  <si>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</si>
  <si>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</si>
  <si>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</si>
  <si>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</si>
  <si>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</si>
  <si>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</si>
  <si>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</si>
  <si>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</si>
  <si>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</si>
  <si>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</si>
  <si>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</si>
  <si>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</si>
  <si>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</si>
  <si>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</si>
  <si>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</si>
  <si>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</si>
  <si>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</si>
  <si>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</si>
  <si>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</si>
  <si>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</si>
  <si>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</si>
  <si>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</si>
  <si>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</si>
  <si>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</si>
  <si>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</si>
  <si>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</si>
  <si>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</si>
  <si>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</si>
  <si>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</si>
  <si>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</si>
  <si>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</si>
  <si>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</si>
  <si>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</si>
  <si>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</si>
  <si>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</si>
  <si>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</si>
  <si>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</si>
  <si>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</si>
  <si>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</si>
  <si>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</si>
  <si>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</si>
  <si>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</si>
  <si>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</si>
  <si>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</si>
  <si>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</si>
  <si>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</si>
  <si>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</si>
  <si>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</si>
  <si>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</si>
  <si>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</si>
  <si>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</si>
  <si>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</si>
  <si>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</si>
  <si>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</si>
  <si>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</si>
  <si>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</si>
  <si>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</si>
  <si>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</si>
  <si>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</si>
  <si>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</si>
  <si>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</si>
  <si>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</si>
  <si>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</si>
  <si>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</si>
  <si>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</si>
  <si>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</si>
  <si>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</si>
  <si>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</si>
  <si>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</si>
  <si>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</si>
  <si>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</si>
  <si>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</si>
  <si>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</si>
  <si>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</si>
  <si>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</si>
  <si>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</si>
  <si>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</si>
  <si>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</si>
  <si>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</si>
  <si>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</si>
  <si>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</si>
  <si>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</si>
  <si>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</si>
  <si>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</si>
  <si>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</si>
  <si>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</si>
  <si>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</si>
  <si>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</si>
  <si>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</si>
  <si>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</si>
  <si>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</si>
  <si>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</si>
  <si>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</si>
  <si>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</si>
  <si>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</si>
  <si>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</si>
  <si>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</si>
  <si>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</si>
  <si>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</si>
  <si>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</si>
  <si>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</si>
  <si>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</si>
  <si>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</si>
  <si>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</si>
  <si>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</si>
  <si>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</si>
  <si>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</si>
  <si>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</si>
  <si>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</si>
  <si>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</si>
  <si>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</si>
  <si>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</si>
  <si>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</si>
  <si>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</si>
  <si>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</si>
  <si>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</si>
  <si>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</si>
  <si>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</si>
  <si>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</si>
  <si>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</si>
  <si>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</si>
  <si>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</si>
  <si>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</si>
  <si>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</si>
  <si>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</si>
  <si>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</si>
  <si>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</si>
  <si>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</si>
  <si>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</si>
  <si>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</si>
  <si>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</si>
  <si>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</si>
  <si>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</si>
  <si>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</si>
  <si>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</si>
  <si>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</si>
  <si>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</si>
  <si>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</si>
  <si>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</si>
  <si>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</si>
  <si>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</si>
  <si>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</si>
  <si>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</si>
  <si>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</si>
  <si>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</si>
  <si>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</si>
  <si>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</si>
  <si>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</si>
  <si>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</si>
  <si>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</si>
  <si>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</si>
  <si>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</si>
  <si>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</si>
  <si>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</si>
  <si>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</si>
  <si>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</si>
  <si>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</si>
  <si>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</si>
  <si>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</si>
  <si>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</si>
  <si>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</si>
  <si>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</si>
  <si>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</si>
  <si>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</si>
  <si>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</si>
  <si>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</si>
  <si>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</si>
  <si>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</si>
  <si>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</si>
  <si>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</si>
  <si>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</si>
  <si>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</si>
  <si>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</si>
  <si>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</si>
  <si>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</si>
  <si>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</si>
  <si>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</si>
  <si>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</si>
  <si>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</si>
  <si>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</si>
  <si>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</si>
  <si>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</si>
  <si>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</si>
  <si>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</si>
  <si>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</si>
  <si>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</si>
  <si>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</si>
  <si>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</si>
  <si>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</si>
  <si>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</si>
  <si>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</si>
  <si>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</si>
  <si>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</si>
  <si>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</si>
  <si>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</si>
  <si>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</si>
  <si>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</si>
  <si>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</si>
  <si>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</si>
  <si>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</si>
  <si>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</si>
  <si>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</si>
  <si>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</si>
  <si>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</si>
  <si>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</si>
  <si>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</si>
  <si>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</si>
  <si>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</si>
  <si>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</si>
  <si>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</si>
  <si>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</si>
  <si>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</si>
  <si>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</si>
  <si>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</si>
  <si>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</si>
  <si>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</si>
  <si>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</si>
  <si>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</si>
  <si>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</si>
  <si>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</si>
  <si>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</si>
  <si>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</si>
  <si>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</si>
  <si>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</si>
  <si>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</si>
  <si>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</si>
  <si>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</si>
  <si>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</si>
  <si>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</si>
  <si>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</si>
  <si>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</si>
  <si>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</si>
  <si>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</si>
  <si>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</si>
  <si>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</si>
  <si>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</si>
  <si>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</si>
  <si>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</si>
  <si>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</si>
  <si>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</si>
  <si>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</si>
  <si>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</si>
  <si>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</si>
  <si>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</si>
  <si>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</si>
  <si>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</si>
  <si>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</si>
  <si>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</si>
  <si>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</si>
  <si>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</si>
  <si>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</si>
  <si>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</si>
  <si>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</si>
  <si>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</si>
  <si>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</si>
  <si>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</si>
  <si>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</si>
  <si>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</si>
  <si>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</si>
  <si>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</si>
  <si>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</si>
  <si>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</si>
  <si>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</si>
  <si>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</si>
  <si>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</si>
  <si>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</si>
  <si>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</si>
  <si>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</si>
  <si>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</si>
  <si>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</si>
  <si>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</si>
  <si>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</si>
  <si>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</si>
  <si>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</si>
  <si>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</si>
  <si>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</si>
  <si>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</si>
  <si>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</si>
  <si>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</si>
  <si>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</si>
  <si>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</si>
  <si>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</si>
  <si>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</si>
  <si>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</si>
  <si>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</si>
  <si>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</si>
  <si>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</si>
  <si>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</si>
  <si>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</si>
  <si>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</si>
  <si>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</si>
  <si>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</si>
  <si>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</si>
  <si>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</si>
  <si>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</si>
  <si>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</si>
  <si>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</si>
  <si>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</si>
  <si>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</si>
  <si>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</si>
  <si>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</si>
  <si>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</si>
  <si>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</si>
  <si>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</si>
  <si>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</si>
  <si>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</si>
  <si>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</si>
  <si>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</si>
  <si>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</si>
  <si>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</si>
  <si>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</si>
  <si>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</si>
  <si>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</si>
  <si>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</si>
  <si>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</si>
  <si>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</si>
  <si>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</si>
  <si>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</si>
  <si>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</si>
  <si>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</si>
  <si>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</si>
  <si>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</si>
  <si>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</si>
  <si>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</si>
  <si>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</si>
  <si>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</si>
  <si>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</si>
  <si>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</si>
  <si>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</si>
  <si>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</si>
  <si>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</si>
  <si>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</si>
  <si>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</si>
  <si>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</si>
  <si>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</si>
  <si>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</si>
  <si>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</si>
  <si>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</si>
  <si>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</si>
  <si>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</si>
  <si>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</si>
  <si>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</si>
  <si>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</si>
  <si>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</si>
  <si>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</si>
  <si>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</si>
  <si>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</si>
  <si>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</si>
  <si>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</si>
  <si>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</si>
  <si>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</si>
  <si>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</si>
  <si>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</si>
  <si>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</si>
  <si>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</si>
  <si>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</si>
  <si>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</si>
  <si>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</si>
  <si>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</si>
  <si>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</si>
  <si>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</si>
  <si>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</si>
  <si>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</si>
  <si>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</si>
  <si>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</si>
  <si>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</si>
  <si>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</si>
  <si>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</si>
  <si>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</si>
  <si>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</si>
  <si>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</si>
  <si>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</si>
  <si>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</si>
  <si>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</si>
  <si>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</si>
  <si>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</si>
  <si>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</si>
  <si>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</si>
  <si>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</si>
  <si>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</si>
  <si>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</si>
  <si>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</si>
  <si>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</si>
  <si>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</si>
  <si>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</si>
  <si>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</si>
  <si>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</si>
  <si>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</si>
  <si>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</si>
  <si>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</si>
  <si>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</si>
  <si>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</si>
  <si>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</si>
  <si>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</si>
  <si>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</si>
  <si>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</si>
  <si>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</si>
  <si>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</si>
  <si>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</si>
  <si>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</si>
  <si>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</si>
  <si>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</si>
  <si>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</si>
  <si>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</si>
  <si>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</si>
  <si>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</si>
  <si>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</si>
  <si>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</si>
  <si>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</si>
  <si>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</si>
  <si>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</si>
  <si>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</si>
  <si>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</si>
  <si>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</si>
  <si>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</si>
  <si>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</si>
  <si>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</si>
  <si>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</si>
  <si>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</si>
  <si>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</si>
  <si>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</si>
  <si>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</si>
  <si>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</si>
  <si>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</si>
  <si>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</si>
  <si>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</si>
  <si>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</si>
  <si>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</si>
  <si>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</si>
  <si>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</si>
  <si>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</si>
  <si>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</si>
  <si>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</si>
  <si>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</si>
  <si>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</si>
  <si>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</si>
  <si>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</si>
  <si>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</si>
  <si>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</si>
  <si>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</si>
  <si>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</si>
  <si>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</si>
  <si>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</si>
  <si>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</si>
  <si>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</si>
  <si>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</si>
  <si>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</si>
  <si>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</si>
  <si>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</si>
  <si>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</si>
  <si>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</si>
  <si>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</si>
  <si>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</si>
  <si>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</si>
  <si>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</si>
  <si>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</si>
  <si>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</si>
  <si>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</si>
  <si>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</si>
  <si>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</si>
  <si>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</si>
  <si>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</si>
  <si>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</si>
  <si>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</si>
  <si>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</si>
  <si>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</si>
  <si>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</si>
  <si>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</si>
  <si>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</si>
  <si>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</si>
  <si>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</si>
  <si>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</si>
  <si>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</si>
  <si>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</si>
  <si>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</si>
  <si>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</si>
  <si>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</si>
  <si>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</si>
  <si>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</si>
  <si>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</si>
  <si>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</si>
  <si>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</si>
  <si>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</si>
  <si>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</si>
  <si>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</si>
  <si>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</si>
  <si>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</si>
  <si>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</si>
  <si>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</si>
  <si>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</si>
  <si>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</si>
  <si>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</si>
  <si>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</si>
  <si>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</si>
  <si>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</si>
  <si>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</si>
  <si>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</si>
  <si>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</si>
  <si>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</si>
  <si>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</si>
  <si>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</si>
  <si>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</si>
  <si>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</si>
  <si>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</si>
  <si>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</si>
  <si>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</si>
  <si>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</si>
  <si>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</si>
  <si>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</si>
  <si>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</si>
  <si>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</si>
  <si>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</si>
  <si>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</si>
  <si>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</si>
  <si>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</si>
  <si>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</si>
  <si>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</si>
  <si>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</si>
  <si>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</si>
  <si>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</si>
  <si>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</si>
  <si>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</si>
  <si>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</si>
  <si>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</si>
  <si>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</si>
  <si>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</si>
  <si>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</si>
  <si>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</si>
  <si>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</si>
  <si>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</si>
  <si>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</si>
  <si>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</si>
  <si>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</si>
  <si>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</si>
  <si>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</si>
  <si>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</si>
  <si>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</si>
  <si>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</si>
  <si>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</si>
  <si>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</si>
  <si>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</si>
  <si>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</si>
  <si>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</si>
  <si>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</si>
  <si>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</si>
  <si>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</si>
  <si>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</si>
  <si>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</si>
  <si>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</si>
  <si>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</si>
  <si>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</si>
  <si>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</si>
  <si>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</si>
  <si>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</si>
  <si>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</si>
  <si>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</si>
  <si>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</si>
  <si>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</si>
  <si>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</si>
  <si>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</si>
  <si>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</si>
  <si>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</si>
  <si>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</si>
  <si>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</si>
  <si>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</si>
  <si>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</si>
  <si>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</si>
  <si>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</si>
  <si>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</si>
  <si>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</si>
  <si>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</si>
  <si>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</si>
  <si>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</si>
  <si>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</si>
  <si>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</si>
  <si>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</si>
  <si>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</si>
  <si>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</si>
  <si>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</si>
  <si>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</si>
  <si>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</si>
  <si>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</si>
  <si>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</si>
  <si>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</si>
  <si>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</si>
  <si>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</si>
  <si>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</si>
  <si>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</si>
  <si>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</si>
  <si>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</si>
  <si>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</si>
  <si>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</si>
  <si>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</si>
  <si>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</si>
  <si>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</si>
  <si>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</si>
  <si>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</si>
  <si>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</si>
  <si>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</si>
  <si>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</si>
  <si>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</si>
  <si>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</si>
  <si>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</si>
  <si>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</si>
  <si>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</si>
  <si>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</si>
  <si>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</si>
  <si>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</si>
  <si>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</si>
  <si>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</si>
  <si>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</si>
  <si>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</si>
  <si>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</si>
  <si>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</si>
  <si>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</si>
  <si>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</si>
  <si>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</si>
  <si>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</si>
  <si>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</si>
  <si>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</si>
  <si>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</si>
  <si>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</si>
  <si>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</si>
  <si>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</si>
  <si>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</si>
  <si>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</si>
  <si>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</si>
  <si>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</si>
  <si>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</si>
  <si>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</si>
  <si>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</si>
  <si>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</si>
  <si>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</si>
  <si>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</si>
  <si>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</si>
  <si>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</si>
  <si>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</si>
  <si>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</si>
  <si>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</si>
  <si>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</si>
  <si>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</si>
  <si>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</si>
  <si>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</si>
  <si>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</si>
  <si>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</si>
  <si>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</si>
  <si>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</si>
  <si>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</si>
  <si>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</si>
  <si>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</si>
  <si>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</si>
  <si>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</si>
  <si>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</si>
  <si>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</si>
  <si>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</si>
  <si>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</si>
  <si>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</si>
  <si>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</si>
  <si>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</si>
  <si>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</si>
  <si>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</si>
  <si>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</si>
  <si>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</si>
  <si>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</si>
  <si>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</si>
  <si>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</si>
  <si>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</si>
  <si>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</si>
  <si>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</si>
  <si>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</si>
  <si>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</si>
  <si>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</si>
  <si>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</si>
  <si>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</si>
  <si>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</si>
  <si>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</si>
  <si>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</si>
  <si>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</si>
  <si>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</si>
  <si>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</si>
  <si>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</si>
  <si>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</si>
  <si>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</si>
  <si>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</si>
  <si>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</si>
  <si>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</si>
  <si>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</si>
  <si>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</si>
  <si>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</si>
  <si>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</si>
  <si>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</si>
  <si>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</si>
  <si>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</si>
  <si>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</si>
  <si>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</si>
  <si>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</si>
  <si>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</si>
  <si>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</si>
  <si>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</si>
  <si>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</si>
  <si>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</si>
  <si>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</si>
  <si>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</si>
  <si>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</si>
  <si>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</si>
  <si>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</si>
  <si>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</si>
  <si>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</si>
  <si>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</si>
  <si>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</si>
  <si>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</si>
  <si>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</si>
  <si>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</si>
  <si>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</si>
  <si>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</si>
  <si>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</si>
  <si>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</si>
  <si>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</si>
  <si>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</si>
  <si>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</si>
  <si>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</si>
  <si>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</si>
  <si>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</si>
  <si>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</si>
  <si>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</si>
  <si>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</si>
  <si>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</si>
  <si>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</si>
  <si>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</si>
  <si>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</si>
  <si>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</si>
  <si>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</si>
  <si>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</si>
  <si>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</si>
  <si>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</si>
  <si>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</si>
  <si>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</si>
  <si>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</si>
  <si>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</si>
  <si>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</si>
  <si>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</si>
  <si>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</si>
  <si>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</si>
  <si>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</si>
  <si>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</si>
  <si>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</si>
  <si>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</si>
  <si>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</si>
  <si>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</si>
  <si>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</si>
  <si>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</si>
  <si>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</si>
  <si>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</si>
  <si>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</si>
  <si>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</si>
  <si>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</si>
  <si>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</si>
  <si>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</si>
  <si>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</si>
  <si>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</si>
  <si>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</si>
  <si>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</si>
  <si>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</si>
  <si>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</si>
  <si>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</si>
  <si>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</si>
  <si>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</si>
  <si>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</si>
  <si>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</si>
  <si>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</si>
  <si>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</si>
  <si>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</si>
  <si>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</si>
  <si>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</si>
  <si>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</si>
  <si>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</si>
  <si>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</si>
  <si>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</si>
  <si>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</si>
  <si>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</si>
  <si>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</si>
  <si>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</si>
  <si>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</si>
  <si>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</si>
  <si>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</si>
  <si>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</si>
  <si>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</si>
  <si>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</si>
  <si>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</si>
  <si>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</si>
  <si>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</si>
  <si>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</si>
  <si>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</si>
  <si>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</si>
  <si>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</si>
  <si>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</si>
  <si>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</si>
  <si>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</si>
  <si>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</si>
  <si>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</si>
  <si>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</si>
  <si>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</si>
  <si>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</si>
  <si>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</si>
  <si>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</si>
  <si>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</si>
  <si>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</si>
  <si>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</si>
  <si>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</si>
  <si>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</si>
  <si>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</si>
  <si>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</si>
  <si>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</si>
  <si>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</si>
  <si>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</si>
  <si>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</si>
  <si>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</si>
  <si>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</si>
  <si>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</si>
  <si>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</si>
  <si>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</si>
  <si>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</si>
  <si>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</si>
  <si>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</si>
  <si>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</si>
  <si>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</si>
  <si>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</si>
  <si>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</si>
  <si>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</si>
  <si>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</si>
  <si>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</si>
  <si>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</si>
  <si>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</si>
  <si>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</si>
  <si>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</si>
  <si>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</si>
  <si>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</si>
  <si>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</si>
  <si>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</si>
  <si>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</si>
  <si>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</si>
  <si>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</si>
  <si>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</si>
  <si>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</si>
  <si>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</si>
  <si>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</si>
  <si>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</si>
  <si>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</si>
  <si>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</si>
  <si>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</si>
  <si>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</si>
  <si>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</si>
  <si>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</si>
  <si>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</si>
  <si>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</si>
  <si>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</si>
  <si>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</si>
  <si>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</si>
  <si>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</si>
  <si>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</si>
  <si>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</si>
  <si>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</si>
  <si>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</si>
  <si>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</si>
  <si>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</si>
  <si>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</si>
  <si>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</si>
  <si>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</si>
  <si>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</si>
  <si>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</si>
  <si>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</si>
  <si>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</si>
  <si>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</si>
  <si>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</si>
  <si>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</si>
  <si>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</si>
  <si>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</si>
  <si>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</si>
  <si>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</si>
  <si>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</si>
  <si>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</si>
  <si>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</si>
  <si>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</si>
  <si>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</si>
  <si>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</si>
  <si>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</si>
  <si>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</si>
  <si>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</si>
  <si>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</si>
  <si>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</si>
  <si>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</si>
  <si>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</si>
  <si>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</si>
  <si>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</si>
  <si>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</si>
  <si>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</si>
  <si>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</si>
  <si>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</si>
  <si>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</si>
  <si>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</si>
  <si>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</si>
  <si>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</si>
  <si>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</si>
  <si>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</si>
  <si>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</si>
  <si>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</si>
  <si>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</si>
  <si>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</si>
  <si>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</si>
  <si>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</si>
  <si>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</si>
  <si>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</si>
  <si>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</si>
  <si>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</si>
  <si>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</si>
  <si>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</si>
  <si>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</si>
  <si>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</si>
  <si>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</si>
  <si>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</si>
  <si>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</si>
  <si>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</si>
  <si>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</si>
  <si>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</si>
  <si>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</si>
  <si>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</si>
  <si>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</si>
  <si>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</si>
  <si>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</si>
  <si>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</si>
  <si>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</si>
  <si>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</si>
  <si>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</si>
  <si>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</si>
  <si>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</si>
  <si>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</si>
  <si>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</si>
  <si>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</si>
  <si>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</si>
  <si>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</si>
  <si>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</si>
  <si>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</si>
  <si>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</si>
  <si>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</si>
  <si>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</si>
  <si>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</si>
  <si>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</si>
  <si>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</si>
  <si>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</si>
  <si>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</si>
  <si>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</si>
  <si>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</si>
  <si>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</si>
  <si>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</si>
  <si>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</si>
  <si>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</si>
  <si>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</si>
  <si>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</si>
  <si>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</si>
  <si>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</si>
  <si>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</si>
  <si>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</si>
  <si>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</si>
  <si>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</si>
  <si>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</si>
  <si>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</si>
  <si>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</si>
  <si>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</si>
  <si>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</si>
  <si>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</si>
  <si>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</si>
  <si>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</si>
  <si>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</si>
  <si>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</si>
  <si>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</si>
  <si>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</si>
  <si>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</si>
  <si>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</si>
  <si>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</si>
  <si>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</si>
  <si>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</si>
  <si>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</si>
  <si>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</si>
  <si>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</si>
  <si>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</si>
  <si>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</si>
  <si>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</si>
  <si>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</si>
  <si>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</si>
  <si>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</si>
  <si>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</si>
  <si>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</si>
  <si>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</si>
  <si>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</si>
  <si>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</si>
  <si>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687</t>
  </si>
  <si>
    <t>Current Pending on 07/30/2016</t>
  </si>
  <si>
    <t>Prior Pending on 07/23/2016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</si>
</sst>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1047</v>
      </c>
      <c r="C2" t="s">
        <v>501</v>
      </c>
      <c r="D2" t="s">
        <v>917</v>
      </c>
      <c r="E2" t="s">
        <v>918</v>
      </c>
      <c r="F2" t="s">
        <v>919</v>
      </c>
      <c r="G2" t="s">
        <v>920</v>
      </c>
      <c r="H2" t="s">
        <v>922</v>
      </c>
      <c r="I2" t="s">
        <v>1041</v>
      </c>
      <c r="J2" t="s">
        <v>923</v>
      </c>
      <c r="K2" t="s">
        <v>924</v>
      </c>
      <c r="L2" t="s">
        <v>921</v>
      </c>
      <c r="M2" t="s">
        <v>926</v>
      </c>
      <c r="N2" t="s">
        <v>927</v>
      </c>
      <c r="O2" t="s">
        <v>928</v>
      </c>
      <c r="P2" t="s">
        <v>929</v>
      </c>
    </row>
    <row r="3" spans="2:16" x14ac:dyDescent="0.2">
      <c r="B3" t="s">
        <v>585</v>
      </c>
      <c r="C3" t="s">
        <v>403</v>
      </c>
      <c r="D3" s="18">
        <v>42556.428055555552</v>
      </c>
      <c r="E3" t="s">
        <v>163</v>
      </c>
      <c r="F3" s="19">
        <v>0.94877355688936005</v>
      </c>
      <c r="G3" s="19">
        <v>0.83915821119879697</v>
      </c>
      <c r="H3" s="19">
        <v>0.91268150094001899</v>
      </c>
      <c r="I3" s="19">
        <v>4.2854177150073801E-2</v>
      </c>
      <c r="J3" s="19">
        <v>0.89132406545680198</v>
      </c>
      <c r="K3" s="19">
        <v>5.4723329435295801E-2</v>
      </c>
      <c r="L3" s="19"/>
      <c r="M3" s="19"/>
      <c r="N3" s="19"/>
      <c r="O3" s="19"/>
      <c r="P3" s="19"/>
    </row>
    <row r="4" spans="2:16" x14ac:dyDescent="0.2">
      <c r="B4" t="s">
        <v>644</v>
      </c>
      <c r="C4" t="s">
        <v>403</v>
      </c>
      <c r="D4" s="18">
        <v>42556.428055555552</v>
      </c>
      <c r="E4" t="s">
        <v>188</v>
      </c>
      <c r="F4" s="19">
        <v>0.94023222832831099</v>
      </c>
      <c r="G4" s="19">
        <v>0.82221135029354198</v>
      </c>
      <c r="H4" s="19">
        <v>0.89928964252978905</v>
      </c>
      <c r="I4" s="19">
        <v>4.29470142023433E-2</v>
      </c>
      <c r="J4" s="19">
        <v>0.93531956884773004</v>
      </c>
      <c r="K4" s="19">
        <v>5.06648690219575E-2</v>
      </c>
      <c r="L4" s="19"/>
      <c r="M4" s="19"/>
      <c r="N4" s="19"/>
      <c r="O4" s="19"/>
      <c r="P4" s="19"/>
    </row>
    <row r="5" spans="2:16" x14ac:dyDescent="0.2">
      <c r="B5" t="s">
        <v>538</v>
      </c>
      <c r="C5" t="s">
        <v>379</v>
      </c>
      <c r="D5" s="18">
        <v>42556.428055555552</v>
      </c>
      <c r="E5" t="s">
        <v>145</v>
      </c>
      <c r="F5" s="19">
        <v>0.91098786347504801</v>
      </c>
      <c r="G5" s="19">
        <v>0.85081506829536002</v>
      </c>
      <c r="H5" s="19">
        <v>0.85434191050253006</v>
      </c>
      <c r="I5" s="19">
        <v>5.4219926755332298E-2</v>
      </c>
      <c r="J5" s="19">
        <v>0.85853863498231198</v>
      </c>
      <c r="K5" s="19">
        <v>5.22588910087411E-2</v>
      </c>
      <c r="L5" s="19"/>
      <c r="M5" s="19"/>
      <c r="N5" s="19"/>
      <c r="O5" s="19"/>
      <c r="P5" s="19"/>
    </row>
    <row r="6" spans="2:16" x14ac:dyDescent="0.2">
      <c r="B6" t="s">
        <v>532</v>
      </c>
      <c r="C6" t="s">
        <v>368</v>
      </c>
      <c r="D6" s="18">
        <v>42556.428055555552</v>
      </c>
      <c r="E6" t="s">
        <v>143</v>
      </c>
      <c r="F6" s="19">
        <v>0.90188566775685497</v>
      </c>
      <c r="G6" s="19">
        <v>0.73347025467369298</v>
      </c>
      <c r="H6" s="19">
        <v>0.81653649450434795</v>
      </c>
      <c r="I6" s="19">
        <v>4.6324894365922603E-2</v>
      </c>
      <c r="J6" s="19">
        <v>0.88521920558676104</v>
      </c>
      <c r="K6" s="19">
        <v>4.92292310977984E-2</v>
      </c>
      <c r="L6" s="19"/>
      <c r="M6" s="19"/>
      <c r="N6" s="19"/>
      <c r="O6" s="19"/>
      <c r="P6" s="19"/>
    </row>
    <row r="7" spans="2:16" x14ac:dyDescent="0.2">
      <c r="B7" t="s">
        <v>600</v>
      </c>
      <c r="C7" t="s">
        <v>403</v>
      </c>
      <c r="D7" s="18">
        <v>42556.428055555552</v>
      </c>
      <c r="E7" t="s">
        <v>169</v>
      </c>
      <c r="F7" s="19">
        <v>0.98568297205909206</v>
      </c>
      <c r="G7" s="19">
        <v>0.94174907292954302</v>
      </c>
      <c r="H7" s="19">
        <v>0.92102908634409997</v>
      </c>
      <c r="I7" s="19">
        <v>4.3882126542635701E-2</v>
      </c>
      <c r="J7" s="19">
        <v>0.98030555354427595</v>
      </c>
      <c r="K7" s="19">
        <v>1.85673623148539E-2</v>
      </c>
      <c r="L7" s="19"/>
      <c r="M7" s="19"/>
      <c r="N7" s="19"/>
      <c r="O7" s="19"/>
      <c r="P7" s="19"/>
    </row>
    <row r="8" spans="2:16" x14ac:dyDescent="0.2">
      <c r="B8" t="s">
        <v>511</v>
      </c>
      <c r="C8" t="s">
        <v>368</v>
      </c>
      <c r="D8" s="18">
        <v>42556.428055555552</v>
      </c>
      <c r="E8" t="s">
        <v>136</v>
      </c>
      <c r="F8" s="19">
        <v>0.93814228931247201</v>
      </c>
      <c r="G8" s="19">
        <v>0.80065275187492602</v>
      </c>
      <c r="H8" s="19">
        <v>0.79722077464949703</v>
      </c>
      <c r="I8" s="19">
        <v>6.1605731085896898E-2</v>
      </c>
      <c r="J8" s="19">
        <v>0.92791149212874402</v>
      </c>
      <c r="K8" s="19">
        <v>3.00411100052588E-2</v>
      </c>
      <c r="L8" s="19"/>
      <c r="M8" s="19"/>
      <c r="N8" s="19"/>
      <c r="O8" s="19"/>
      <c r="P8" s="19"/>
    </row>
    <row r="9" spans="2:16" x14ac:dyDescent="0.2">
      <c r="B9" t="s">
        <v>519</v>
      </c>
      <c r="C9" t="s">
        <v>368</v>
      </c>
      <c r="D9" s="18">
        <v>42556.428055555552</v>
      </c>
      <c r="E9" t="s">
        <v>139</v>
      </c>
      <c r="F9" s="19">
        <v>0.95926984604583498</v>
      </c>
      <c r="G9" s="19">
        <v>0.90241278623021404</v>
      </c>
      <c r="H9" s="19">
        <v>0.89693203448661996</v>
      </c>
      <c r="I9" s="19">
        <v>4.7920287070820203E-2</v>
      </c>
      <c r="J9" s="19">
        <v>0.85459267784486603</v>
      </c>
      <c r="K9" s="19">
        <v>4.93915498095788E-2</v>
      </c>
      <c r="L9" s="19"/>
      <c r="M9" s="19"/>
      <c r="N9" s="19"/>
      <c r="O9" s="19"/>
      <c r="P9" s="19"/>
    </row>
    <row r="10" spans="2:16" x14ac:dyDescent="0.2">
      <c r="B10" t="s">
        <v>636</v>
      </c>
      <c r="C10" t="s">
        <v>384</v>
      </c>
      <c r="D10" s="18">
        <v>42556.428055555552</v>
      </c>
      <c r="E10" t="s">
        <v>672</v>
      </c>
      <c r="F10" s="19">
        <v>0.93663044928791095</v>
      </c>
      <c r="G10" s="19">
        <v>0.89671667753859496</v>
      </c>
      <c r="H10" s="19">
        <v>0.89583821647470896</v>
      </c>
      <c r="I10" s="19">
        <v>4.5604423083520099E-2</v>
      </c>
      <c r="J10" s="19">
        <v>0.84362625725528995</v>
      </c>
      <c r="K10" s="19">
        <v>6.7786629976463106E-2</v>
      </c>
      <c r="L10" s="19"/>
      <c r="M10" s="19"/>
      <c r="N10" s="19"/>
      <c r="O10" s="19"/>
      <c r="P10" s="19"/>
    </row>
    <row r="11" spans="2:16" x14ac:dyDescent="0.2">
      <c r="B11" t="s">
        <v>566</v>
      </c>
      <c r="C11" t="s">
        <v>389</v>
      </c>
      <c r="D11" s="18">
        <v>42556.428055555552</v>
      </c>
      <c r="E11" t="s">
        <v>155</v>
      </c>
      <c r="F11" s="19">
        <v>0.90806660863505295</v>
      </c>
      <c r="G11" s="19">
        <v>0.80001056189269104</v>
      </c>
      <c r="H11" s="19">
        <v>0.85900752882037501</v>
      </c>
      <c r="I11" s="19">
        <v>5.1513455213775497E-2</v>
      </c>
      <c r="J11" s="19">
        <v>0.87019931420665197</v>
      </c>
      <c r="K11" s="19">
        <v>4.7641153624255902E-2</v>
      </c>
      <c r="L11" s="252"/>
      <c r="M11" s="252"/>
      <c r="N11" s="252"/>
      <c r="O11" s="252"/>
      <c r="P11" s="252"/>
    </row>
    <row r="12" spans="2:16" x14ac:dyDescent="0.2">
      <c r="B12" t="s">
        <v>558</v>
      </c>
      <c r="C12" t="s">
        <v>389</v>
      </c>
      <c r="D12" s="18">
        <v>42556.428055555552</v>
      </c>
      <c r="E12" t="s">
        <v>152</v>
      </c>
      <c r="F12" s="19">
        <v>0.99536780772031996</v>
      </c>
      <c r="G12" s="19">
        <v>1</v>
      </c>
      <c r="H12" s="19">
        <v>0.92463888547737305</v>
      </c>
      <c r="I12" s="19">
        <v>4.1311670903757897E-2</v>
      </c>
      <c r="J12" s="19">
        <v>0.88250454140038603</v>
      </c>
      <c r="K12" s="19">
        <v>5.1669422810486303E-2</v>
      </c>
      <c r="L12" s="19"/>
      <c r="M12" s="19"/>
      <c r="N12" s="19"/>
      <c r="O12" s="19"/>
      <c r="P12" s="19"/>
    </row>
    <row r="13" spans="2:16" x14ac:dyDescent="0.2">
      <c r="B13" t="s">
        <v>546</v>
      </c>
      <c r="C13" t="s">
        <v>379</v>
      </c>
      <c r="D13" s="18">
        <v>42556.428055555552</v>
      </c>
      <c r="E13" t="s">
        <v>148</v>
      </c>
      <c r="F13" s="19">
        <v>0.96120436705840095</v>
      </c>
      <c r="G13" s="19">
        <v>0.85417164634956</v>
      </c>
      <c r="H13" s="19">
        <v>0.92116835548537102</v>
      </c>
      <c r="I13" s="19">
        <v>4.3587036118812497E-2</v>
      </c>
      <c r="J13" s="19">
        <v>0.90264696698742497</v>
      </c>
      <c r="K13" s="19">
        <v>5.5087777613855103E-2</v>
      </c>
      <c r="L13" s="19"/>
      <c r="M13" s="19"/>
      <c r="N13" s="19"/>
      <c r="O13" s="19"/>
      <c r="P13" s="19"/>
    </row>
    <row r="14" spans="2:16" x14ac:dyDescent="0.2">
      <c r="B14" t="s">
        <v>384</v>
      </c>
      <c r="C14" t="s">
        <v>384</v>
      </c>
      <c r="D14" s="18">
        <v>42556.428055555552</v>
      </c>
      <c r="E14" t="s">
        <v>663</v>
      </c>
      <c r="F14" s="19">
        <v>0.95058705224716</v>
      </c>
      <c r="G14" s="19">
        <v>0.88438084446713405</v>
      </c>
      <c r="H14" s="19">
        <v>0.88652989127308701</v>
      </c>
      <c r="I14" s="19">
        <v>1.8074517090315E-2</v>
      </c>
      <c r="J14" s="19">
        <v>0.92687011784482698</v>
      </c>
      <c r="K14" s="19">
        <v>1.6133210559247199E-2</v>
      </c>
      <c r="L14" s="19"/>
      <c r="M14" s="19"/>
      <c r="N14" s="19"/>
      <c r="O14" s="19"/>
      <c r="P14" s="19"/>
    </row>
    <row r="15" spans="2:16" x14ac:dyDescent="0.2">
      <c r="B15" t="s">
        <v>583</v>
      </c>
      <c r="C15" t="s">
        <v>384</v>
      </c>
      <c r="D15" s="18">
        <v>42556.428055555552</v>
      </c>
      <c r="E15" t="s">
        <v>162</v>
      </c>
      <c r="F15" s="19">
        <v>0.97988263217748595</v>
      </c>
      <c r="G15" s="19">
        <v>0.91805179744878196</v>
      </c>
      <c r="H15" s="19">
        <v>0.92196096624019297</v>
      </c>
      <c r="I15" s="19">
        <v>4.1974923294750201E-2</v>
      </c>
      <c r="J15" s="19">
        <v>0.89320175258268897</v>
      </c>
      <c r="K15" s="19">
        <v>4.82087686731138E-2</v>
      </c>
      <c r="L15" s="19"/>
      <c r="M15" s="19"/>
      <c r="N15" s="19"/>
      <c r="O15" s="19"/>
      <c r="P15" s="19"/>
    </row>
    <row r="16" spans="2:16" x14ac:dyDescent="0.2">
      <c r="B16" t="s">
        <v>575</v>
      </c>
      <c r="C16" t="s">
        <v>389</v>
      </c>
      <c r="D16" s="18">
        <v>42556.428055555552</v>
      </c>
      <c r="E16" t="s">
        <v>159</v>
      </c>
      <c r="F16" s="19">
        <v>0.94556506189144196</v>
      </c>
      <c r="G16" s="19">
        <v>0.87468842057557195</v>
      </c>
      <c r="H16" s="19">
        <v>0.93562715045355005</v>
      </c>
      <c r="I16" s="19">
        <v>4.65982963557557E-2</v>
      </c>
      <c r="J16" s="19">
        <v>0.980792073018255</v>
      </c>
      <c r="K16" s="19">
        <v>2.05552400638058E-2</v>
      </c>
      <c r="L16" s="252"/>
      <c r="M16" s="252"/>
      <c r="N16" s="252"/>
      <c r="O16" s="252"/>
      <c r="P16" s="252"/>
    </row>
    <row r="17" spans="2:16" x14ac:dyDescent="0.2">
      <c r="B17" t="s">
        <v>568</v>
      </c>
      <c r="C17" t="s">
        <v>389</v>
      </c>
      <c r="D17" s="18">
        <v>42556.428055555552</v>
      </c>
      <c r="E17" t="s">
        <v>156</v>
      </c>
      <c r="F17" s="19">
        <v>0.91524812390130295</v>
      </c>
      <c r="G17" s="19">
        <v>0.82300059082608201</v>
      </c>
      <c r="H17" s="19">
        <v>0.89388520681584605</v>
      </c>
      <c r="I17" s="19">
        <v>4.3272837631088801E-2</v>
      </c>
      <c r="J17" s="19">
        <v>0.90944316674278503</v>
      </c>
      <c r="K17" s="19">
        <v>4.5516474179482701E-2</v>
      </c>
      <c r="L17" s="19"/>
      <c r="M17" s="19"/>
      <c r="N17" s="19"/>
      <c r="O17" s="19"/>
      <c r="P17" s="19"/>
    </row>
    <row r="18" spans="2:16" x14ac:dyDescent="0.2">
      <c r="B18" t="s">
        <v>632</v>
      </c>
      <c r="C18" t="s">
        <v>389</v>
      </c>
      <c r="D18" s="18">
        <v>42556.428055555552</v>
      </c>
      <c r="E18" t="s">
        <v>183</v>
      </c>
      <c r="F18" s="19">
        <v>0.92549500956595898</v>
      </c>
      <c r="G18" s="19">
        <v>0.86410470620996904</v>
      </c>
      <c r="H18" s="19">
        <v>0.88939750149817898</v>
      </c>
      <c r="I18" s="19">
        <v>5.1613049583126999E-2</v>
      </c>
      <c r="J18" s="19">
        <v>0.97405602240896405</v>
      </c>
      <c r="K18" s="19">
        <v>2.5138603669433199E-2</v>
      </c>
      <c r="L18" s="19"/>
      <c r="M18" s="19"/>
      <c r="N18" s="19"/>
      <c r="O18" s="19"/>
      <c r="P18" s="19"/>
    </row>
    <row r="19" spans="2:16" x14ac:dyDescent="0.2">
      <c r="B19" t="s">
        <v>630</v>
      </c>
      <c r="C19" t="s">
        <v>384</v>
      </c>
      <c r="D19" s="18">
        <v>42556.428055555552</v>
      </c>
      <c r="E19" t="s">
        <v>182</v>
      </c>
      <c r="F19" s="19">
        <v>0.96254942274236899</v>
      </c>
      <c r="G19" s="19">
        <v>0.89024002543315806</v>
      </c>
      <c r="H19" s="19">
        <v>0.93777657608940601</v>
      </c>
      <c r="I19" s="19">
        <v>4.3207866738300002E-2</v>
      </c>
      <c r="J19" s="19">
        <v>0.95068809594023396</v>
      </c>
      <c r="K19" s="19">
        <v>3.5798256647673901E-2</v>
      </c>
      <c r="L19" s="19"/>
      <c r="M19" s="19"/>
      <c r="N19" s="19"/>
      <c r="O19" s="19"/>
      <c r="P19" s="19"/>
    </row>
    <row r="20" spans="2:16" x14ac:dyDescent="0.2">
      <c r="B20" t="s">
        <v>521</v>
      </c>
      <c r="C20" t="s">
        <v>368</v>
      </c>
      <c r="D20" s="18">
        <v>42556.428055555552</v>
      </c>
      <c r="E20" t="s">
        <v>140</v>
      </c>
      <c r="F20" s="19">
        <v>0.98068869165559502</v>
      </c>
      <c r="G20" s="19">
        <v>0.93820256453708395</v>
      </c>
      <c r="H20" s="19">
        <v>0.92779320412044497</v>
      </c>
      <c r="I20" s="19">
        <v>4.4271476300910398E-2</v>
      </c>
      <c r="J20" s="19">
        <v>0.94307359307359295</v>
      </c>
      <c r="K20" s="19">
        <v>4.6997468949121803E-2</v>
      </c>
      <c r="L20" s="19"/>
      <c r="M20" s="19"/>
      <c r="N20" s="19"/>
      <c r="O20" s="19"/>
      <c r="P20" s="19"/>
    </row>
    <row r="21" spans="2:16" x14ac:dyDescent="0.2">
      <c r="B21" t="s">
        <v>640</v>
      </c>
      <c r="C21" t="s">
        <v>403</v>
      </c>
      <c r="D21" s="18">
        <v>42556.428055555552</v>
      </c>
      <c r="E21" t="s">
        <v>186</v>
      </c>
      <c r="F21" s="19">
        <v>0.97454740025133502</v>
      </c>
      <c r="G21" s="19">
        <v>0.94266330986543101</v>
      </c>
      <c r="H21" s="19">
        <v>0.90092809275608998</v>
      </c>
      <c r="I21" s="19">
        <v>4.2909310256342897E-2</v>
      </c>
      <c r="J21" s="19">
        <v>0.96599807888004396</v>
      </c>
      <c r="K21" s="19">
        <v>3.4007984995199601E-2</v>
      </c>
      <c r="L21" s="19"/>
      <c r="M21" s="19"/>
      <c r="N21" s="19"/>
      <c r="O21" s="19"/>
      <c r="P21" s="19"/>
    </row>
    <row r="22" spans="2:16" x14ac:dyDescent="0.2">
      <c r="B22" t="s">
        <v>618</v>
      </c>
      <c r="C22" t="s">
        <v>384</v>
      </c>
      <c r="D22" s="18">
        <v>42556.428055555552</v>
      </c>
      <c r="E22" t="s">
        <v>177</v>
      </c>
      <c r="F22" s="19">
        <v>0.94090513812713805</v>
      </c>
      <c r="G22" s="19">
        <v>0.87696755360952094</v>
      </c>
      <c r="H22" s="19">
        <v>0.84353317181690701</v>
      </c>
      <c r="I22" s="19">
        <v>4.9494393264196003E-2</v>
      </c>
      <c r="J22" s="19">
        <v>0.90975290498261197</v>
      </c>
      <c r="K22" s="19">
        <v>4.37356173265405E-2</v>
      </c>
      <c r="L22" s="19"/>
      <c r="M22" s="19"/>
      <c r="N22" s="19"/>
      <c r="O22" s="19"/>
      <c r="P22" s="19"/>
    </row>
    <row r="23" spans="2:16" x14ac:dyDescent="0.2">
      <c r="B23" t="s">
        <v>536</v>
      </c>
      <c r="C23" t="s">
        <v>368</v>
      </c>
      <c r="D23" s="18">
        <v>42556.428055555552</v>
      </c>
      <c r="E23" t="s">
        <v>144</v>
      </c>
      <c r="F23" s="19">
        <v>0.97442158530926104</v>
      </c>
      <c r="G23" s="19">
        <v>0.90296513107661003</v>
      </c>
      <c r="H23" s="19">
        <v>0.87672402884980405</v>
      </c>
      <c r="I23" s="19">
        <v>4.8457498326536202E-2</v>
      </c>
      <c r="J23" s="19">
        <v>0.89849844709711302</v>
      </c>
      <c r="K23" s="19">
        <v>4.7045346468051003E-2</v>
      </c>
      <c r="L23" s="19"/>
      <c r="M23" s="19"/>
      <c r="N23" s="19"/>
      <c r="O23" s="19"/>
      <c r="P23" s="19"/>
    </row>
    <row r="24" spans="2:16" x14ac:dyDescent="0.2">
      <c r="B24" t="s">
        <v>560</v>
      </c>
      <c r="C24" t="s">
        <v>389</v>
      </c>
      <c r="D24" s="18">
        <v>42556.428055555552</v>
      </c>
      <c r="E24" t="s">
        <v>153</v>
      </c>
      <c r="F24" s="19">
        <v>0.93614546042554703</v>
      </c>
      <c r="G24" s="19">
        <v>0.84238356011287796</v>
      </c>
      <c r="H24" s="19">
        <v>0.88511762589510601</v>
      </c>
      <c r="I24" s="19">
        <v>5.2036616075737903E-2</v>
      </c>
      <c r="J24" s="19">
        <v>0.96047744917379096</v>
      </c>
      <c r="K24" s="19">
        <v>2.8330670146649899E-2</v>
      </c>
      <c r="L24" s="19"/>
      <c r="M24" s="19"/>
      <c r="N24" s="19"/>
      <c r="O24" s="19"/>
      <c r="P24" s="19"/>
    </row>
    <row r="25" spans="2:16" x14ac:dyDescent="0.2">
      <c r="B25" t="s">
        <v>554</v>
      </c>
      <c r="C25" t="s">
        <v>384</v>
      </c>
      <c r="D25" s="18">
        <v>42556.428055555552</v>
      </c>
      <c r="E25" t="s">
        <v>151</v>
      </c>
      <c r="F25" s="19">
        <v>0.94265756985055205</v>
      </c>
      <c r="G25" s="19">
        <v>0.865115771079074</v>
      </c>
      <c r="H25" s="19">
        <v>0.86175871958552996</v>
      </c>
      <c r="I25" s="19">
        <v>5.0929192073556603E-2</v>
      </c>
      <c r="J25" s="19">
        <v>0.88566793876431305</v>
      </c>
      <c r="K25" s="19">
        <v>4.9113299218340498E-2</v>
      </c>
      <c r="L25" s="19"/>
      <c r="M25" s="19"/>
      <c r="N25" s="19"/>
      <c r="O25" s="19"/>
      <c r="P25" s="19"/>
    </row>
    <row r="26" spans="2:16" x14ac:dyDescent="0.2">
      <c r="B26" t="s">
        <v>577</v>
      </c>
      <c r="C26" t="s">
        <v>389</v>
      </c>
      <c r="D26" s="18">
        <v>42556.428055555552</v>
      </c>
      <c r="E26" t="s">
        <v>160</v>
      </c>
      <c r="F26" s="19">
        <v>0.98493776179668702</v>
      </c>
      <c r="G26" s="19">
        <v>0.92424543288324101</v>
      </c>
      <c r="H26" s="19">
        <v>0.93650507293304996</v>
      </c>
      <c r="I26" s="19">
        <v>3.9835521667923597E-2</v>
      </c>
      <c r="J26" s="19">
        <v>0.98766136509521396</v>
      </c>
      <c r="K26" s="19">
        <v>1.8355314738469301E-2</v>
      </c>
      <c r="L26" s="19"/>
      <c r="M26" s="19"/>
      <c r="N26" s="19"/>
      <c r="O26" s="19"/>
      <c r="P26" s="19"/>
    </row>
    <row r="27" spans="2:16" x14ac:dyDescent="0.2">
      <c r="B27" t="s">
        <v>606</v>
      </c>
      <c r="C27" t="s">
        <v>384</v>
      </c>
      <c r="D27" s="18">
        <v>42556.428055555552</v>
      </c>
      <c r="E27" t="s">
        <v>172</v>
      </c>
      <c r="F27" s="19">
        <v>0.941418344851502</v>
      </c>
      <c r="G27" s="19">
        <v>0.80515136310419799</v>
      </c>
      <c r="H27" s="19">
        <v>0.86908317860122097</v>
      </c>
      <c r="I27" s="19">
        <v>5.1089451893071403E-2</v>
      </c>
      <c r="J27" s="19">
        <v>0.94708919756181797</v>
      </c>
      <c r="K27" s="19">
        <v>3.9217194676167702E-2</v>
      </c>
      <c r="L27" s="19"/>
      <c r="M27" s="19"/>
      <c r="N27" s="19"/>
      <c r="O27" s="19"/>
      <c r="P27" s="19"/>
    </row>
    <row r="28" spans="2:16" x14ac:dyDescent="0.2">
      <c r="B28" t="s">
        <v>592</v>
      </c>
      <c r="C28" t="s">
        <v>403</v>
      </c>
      <c r="D28" s="18">
        <v>42556.428055555552</v>
      </c>
      <c r="E28" t="s">
        <v>166</v>
      </c>
      <c r="F28" s="19">
        <v>0.97084835875791897</v>
      </c>
      <c r="G28" s="19">
        <v>0.91662165325266898</v>
      </c>
      <c r="H28" s="19">
        <v>0.86873671992302204</v>
      </c>
      <c r="I28" s="19">
        <v>4.53639509828513E-2</v>
      </c>
      <c r="J28" s="19">
        <v>0.83181809060016598</v>
      </c>
      <c r="K28" s="19">
        <v>5.8914621623810198E-2</v>
      </c>
      <c r="L28" s="19"/>
      <c r="M28" s="19"/>
      <c r="N28" s="19"/>
      <c r="O28" s="19"/>
      <c r="P28" s="19"/>
    </row>
    <row r="29" spans="2:16" x14ac:dyDescent="0.2">
      <c r="B29" t="s">
        <v>562</v>
      </c>
      <c r="C29" t="s">
        <v>379</v>
      </c>
      <c r="D29" s="18">
        <v>42556.428055555552</v>
      </c>
      <c r="E29" t="s">
        <v>154</v>
      </c>
      <c r="F29" s="19">
        <v>0.94697129761142995</v>
      </c>
      <c r="G29" s="19">
        <v>0.91104508912967497</v>
      </c>
      <c r="H29" s="19">
        <v>0.90595136446740698</v>
      </c>
      <c r="I29" s="19">
        <v>4.3179762706453198E-2</v>
      </c>
      <c r="J29" s="19">
        <v>0.92353605950949602</v>
      </c>
      <c r="K29" s="19">
        <v>4.3249636732106002E-2</v>
      </c>
      <c r="L29" s="19"/>
      <c r="M29" s="19"/>
      <c r="N29" s="19"/>
      <c r="O29" s="19"/>
      <c r="P29" s="19"/>
    </row>
    <row r="30" spans="2:16" x14ac:dyDescent="0.2">
      <c r="B30" t="s">
        <v>621</v>
      </c>
      <c r="C30" t="s">
        <v>368</v>
      </c>
      <c r="D30" s="18">
        <v>42556.428055555552</v>
      </c>
      <c r="E30" t="s">
        <v>178</v>
      </c>
      <c r="F30" s="19">
        <v>0.97013701421076803</v>
      </c>
      <c r="G30" s="19">
        <v>0.90144452842865497</v>
      </c>
      <c r="H30" s="19">
        <v>0.89876098297638596</v>
      </c>
      <c r="I30" s="19">
        <v>4.4138516467842899E-2</v>
      </c>
      <c r="J30" s="19">
        <v>0.87528553489206495</v>
      </c>
      <c r="K30" s="19">
        <v>5.7207236605424303E-2</v>
      </c>
      <c r="L30" s="19"/>
      <c r="M30" s="19"/>
      <c r="N30" s="19"/>
      <c r="O30" s="19"/>
      <c r="P30" s="19"/>
    </row>
    <row r="31" spans="2:16" x14ac:dyDescent="0.2">
      <c r="B31" t="s">
        <v>614</v>
      </c>
      <c r="C31" t="s">
        <v>403</v>
      </c>
      <c r="D31" s="18">
        <v>42556.428055555552</v>
      </c>
      <c r="E31" t="s">
        <v>176</v>
      </c>
      <c r="F31" s="19">
        <v>0.97028418795186899</v>
      </c>
      <c r="G31" s="19">
        <v>0.85918621179815202</v>
      </c>
      <c r="H31" s="19">
        <v>0.89811969166364802</v>
      </c>
      <c r="I31" s="19">
        <v>5.0293224393106302E-2</v>
      </c>
      <c r="J31" s="19">
        <v>0.97581430745814302</v>
      </c>
      <c r="K31" s="19">
        <v>2.5957480175567801E-2</v>
      </c>
      <c r="L31" s="19"/>
      <c r="M31" s="19"/>
      <c r="N31" s="19"/>
      <c r="O31" s="19"/>
      <c r="P31" s="19"/>
    </row>
    <row r="32" spans="2:16" x14ac:dyDescent="0.2">
      <c r="B32" t="s">
        <v>389</v>
      </c>
      <c r="C32" t="s">
        <v>389</v>
      </c>
      <c r="D32" s="18">
        <v>42556.428055555552</v>
      </c>
      <c r="E32" t="s">
        <v>662</v>
      </c>
      <c r="F32" s="19">
        <v>0.957239994377454</v>
      </c>
      <c r="G32" s="19">
        <v>0.89498908202916505</v>
      </c>
      <c r="H32" s="19">
        <v>0.91951647151431104</v>
      </c>
      <c r="I32" s="19">
        <v>1.33574737231644E-2</v>
      </c>
      <c r="J32" s="19">
        <v>0.91234524822361096</v>
      </c>
      <c r="K32" s="19">
        <v>1.7874338600114802E-2</v>
      </c>
      <c r="L32" s="19"/>
      <c r="M32" s="19"/>
      <c r="N32" s="19"/>
      <c r="O32" s="19"/>
      <c r="P32" s="19"/>
    </row>
    <row r="33" spans="2:16" x14ac:dyDescent="0.2">
      <c r="B33" t="s">
        <v>209</v>
      </c>
      <c r="C33" t="s">
        <v>389</v>
      </c>
      <c r="D33" s="18">
        <v>42556.428055555552</v>
      </c>
      <c r="E33" t="s">
        <v>157</v>
      </c>
      <c r="F33" s="19">
        <v>0.98987526085572497</v>
      </c>
      <c r="G33" s="19">
        <v>0.95369995956328402</v>
      </c>
      <c r="H33" s="19">
        <v>0.97167525860035697</v>
      </c>
      <c r="I33" s="19">
        <v>3.1084345938768701E-2</v>
      </c>
      <c r="J33" s="19">
        <v>0.89683124692106497</v>
      </c>
      <c r="K33" s="19">
        <v>4.5811702428346701E-2</v>
      </c>
      <c r="L33" s="19">
        <v>0.96276698095054802</v>
      </c>
      <c r="M33" s="19">
        <v>0.94959324681566903</v>
      </c>
      <c r="N33" s="19">
        <v>4.1262651856044497E-2</v>
      </c>
      <c r="O33" s="19">
        <v>0.98543069541401496</v>
      </c>
      <c r="P33" s="19">
        <v>1.64370248537857E-2</v>
      </c>
    </row>
    <row r="34" spans="2:16" x14ac:dyDescent="0.2">
      <c r="B34" t="s">
        <v>570</v>
      </c>
      <c r="C34" t="s">
        <v>389</v>
      </c>
      <c r="D34" s="18">
        <v>42556.428055555552</v>
      </c>
      <c r="E34" t="s">
        <v>157</v>
      </c>
      <c r="F34" s="19">
        <v>0.98987526085572497</v>
      </c>
      <c r="G34" s="19">
        <v>0.95369995956328402</v>
      </c>
      <c r="H34" s="19">
        <v>0.97167525860035697</v>
      </c>
      <c r="I34" s="19">
        <v>3.1084345938768701E-2</v>
      </c>
      <c r="J34" s="19">
        <v>0.89683124692106497</v>
      </c>
      <c r="K34" s="19">
        <v>4.5811702428346701E-2</v>
      </c>
      <c r="L34" s="19">
        <v>0.96276698095054802</v>
      </c>
      <c r="M34" s="19">
        <v>0.94959324681566903</v>
      </c>
      <c r="N34" s="19">
        <v>4.1262651856044497E-2</v>
      </c>
      <c r="O34" s="19">
        <v>0.98543069541401496</v>
      </c>
      <c r="P34" s="19">
        <v>1.64370248537857E-2</v>
      </c>
    </row>
    <row r="35" spans="2:16" x14ac:dyDescent="0.2">
      <c r="B35" t="s">
        <v>552</v>
      </c>
      <c r="C35" t="s">
        <v>379</v>
      </c>
      <c r="D35" s="18">
        <v>42556.428055555552</v>
      </c>
      <c r="E35" t="s">
        <v>150</v>
      </c>
      <c r="F35" s="19">
        <v>0.86478189926065097</v>
      </c>
      <c r="G35" s="19">
        <v>0.73645920941968002</v>
      </c>
      <c r="H35" s="19">
        <v>0.81202735850099494</v>
      </c>
      <c r="I35" s="19">
        <v>5.7602883091519001E-2</v>
      </c>
      <c r="J35" s="19">
        <v>0.918963762382766</v>
      </c>
      <c r="K35" s="19">
        <v>4.9237264538583798E-2</v>
      </c>
      <c r="L35" s="19"/>
      <c r="M35" s="19"/>
      <c r="N35" s="19"/>
      <c r="O35" s="19"/>
      <c r="P35" s="19"/>
    </row>
    <row r="36" spans="2:16" x14ac:dyDescent="0.2">
      <c r="B36" t="s">
        <v>608</v>
      </c>
      <c r="C36" t="s">
        <v>384</v>
      </c>
      <c r="D36" s="18">
        <v>42556.428055555552</v>
      </c>
      <c r="E36" t="s">
        <v>173</v>
      </c>
      <c r="F36" s="19">
        <v>0.91852839581428403</v>
      </c>
      <c r="G36" s="19">
        <v>0.87772005423328403</v>
      </c>
      <c r="H36" s="19">
        <v>0.88916700182841402</v>
      </c>
      <c r="I36" s="19">
        <v>4.8809392299867901E-2</v>
      </c>
      <c r="J36" s="19">
        <v>0.94598376054953504</v>
      </c>
      <c r="K36" s="19">
        <v>4.2046351645843902E-2</v>
      </c>
      <c r="L36" s="19"/>
      <c r="M36" s="19"/>
      <c r="N36" s="19"/>
      <c r="O36" s="19"/>
      <c r="P36" s="19"/>
    </row>
    <row r="37" spans="2:16" x14ac:dyDescent="0.2">
      <c r="B37" t="s">
        <v>548</v>
      </c>
      <c r="C37" t="s">
        <v>379</v>
      </c>
      <c r="D37" s="18">
        <v>42556.428055555552</v>
      </c>
      <c r="E37" t="s">
        <v>91</v>
      </c>
      <c r="F37" s="19">
        <v>0.95898947362294196</v>
      </c>
      <c r="G37" s="19">
        <v>0.84315918963595105</v>
      </c>
      <c r="H37" s="19">
        <v>0.91376462998801999</v>
      </c>
      <c r="I37" s="19">
        <v>4.8932059884459297E-2</v>
      </c>
      <c r="J37" s="19">
        <v>0.90889962901356602</v>
      </c>
      <c r="K37" s="19">
        <v>4.9327781225054899E-2</v>
      </c>
      <c r="L37" s="19"/>
      <c r="M37" s="19"/>
      <c r="N37" s="19"/>
      <c r="O37" s="19"/>
      <c r="P37" s="19"/>
    </row>
    <row r="38" spans="2:16" x14ac:dyDescent="0.2">
      <c r="B38" t="s">
        <v>550</v>
      </c>
      <c r="C38" t="s">
        <v>384</v>
      </c>
      <c r="D38" s="18">
        <v>42556.428055555552</v>
      </c>
      <c r="E38" t="s">
        <v>149</v>
      </c>
      <c r="F38" s="19">
        <v>0.96066138012485203</v>
      </c>
      <c r="G38" s="19">
        <v>0.84681048173636797</v>
      </c>
      <c r="H38" s="19">
        <v>0.91256074187365699</v>
      </c>
      <c r="I38" s="19">
        <v>4.1916531756804598E-2</v>
      </c>
      <c r="J38" s="19">
        <v>0.94730878838021704</v>
      </c>
      <c r="K38" s="19">
        <v>3.7617050548482397E-2</v>
      </c>
      <c r="L38" s="19"/>
      <c r="M38" s="19"/>
      <c r="N38" s="19"/>
      <c r="O38" s="19"/>
      <c r="P38" s="19"/>
    </row>
    <row r="39" spans="2:16" x14ac:dyDescent="0.2">
      <c r="B39" t="s">
        <v>517</v>
      </c>
      <c r="C39" t="s">
        <v>368</v>
      </c>
      <c r="D39" s="18">
        <v>42556.428055555552</v>
      </c>
      <c r="E39" t="s">
        <v>138</v>
      </c>
      <c r="F39" s="19">
        <v>0.93814788167473995</v>
      </c>
      <c r="G39" s="19">
        <v>0.87274806093754798</v>
      </c>
      <c r="H39" s="19">
        <v>0.87191749462785995</v>
      </c>
      <c r="I39" s="19">
        <v>5.10509932455223E-2</v>
      </c>
      <c r="J39" s="19">
        <v>0.91433992235894301</v>
      </c>
      <c r="K39" s="19">
        <v>4.2794130526865398E-2</v>
      </c>
      <c r="L39" s="19"/>
      <c r="M39" s="19"/>
      <c r="N39" s="19"/>
      <c r="O39" s="19"/>
      <c r="P39" s="19"/>
    </row>
    <row r="40" spans="2:16" x14ac:dyDescent="0.2">
      <c r="B40" t="s">
        <v>523</v>
      </c>
      <c r="C40" t="s">
        <v>368</v>
      </c>
      <c r="D40" s="18">
        <v>42556.428055555552</v>
      </c>
      <c r="E40" t="s">
        <v>141</v>
      </c>
      <c r="F40" s="19">
        <v>0.95214199809231503</v>
      </c>
      <c r="G40" s="19">
        <v>0.89667266187050398</v>
      </c>
      <c r="H40" s="19">
        <v>0.90428581260107999</v>
      </c>
      <c r="I40" s="19">
        <v>3.9477569540227901E-2</v>
      </c>
      <c r="J40" s="19">
        <v>0.85679246064442405</v>
      </c>
      <c r="K40" s="19">
        <v>5.2328934940198801E-2</v>
      </c>
      <c r="L40" s="19"/>
      <c r="M40" s="19"/>
      <c r="N40" s="19"/>
      <c r="O40" s="19"/>
      <c r="P40" s="19"/>
    </row>
    <row r="41" spans="2:16" x14ac:dyDescent="0.2">
      <c r="B41" t="s">
        <v>368</v>
      </c>
      <c r="C41" t="s">
        <v>368</v>
      </c>
      <c r="D41" s="18">
        <v>42556.428055555552</v>
      </c>
      <c r="E41" t="s">
        <v>661</v>
      </c>
      <c r="F41" s="19">
        <v>0.95846293173471497</v>
      </c>
      <c r="G41" s="19">
        <v>0.86841381260836104</v>
      </c>
      <c r="H41" s="19">
        <v>0.87854911720371398</v>
      </c>
      <c r="I41" s="19">
        <v>1.5281988631149801E-2</v>
      </c>
      <c r="J41" s="19">
        <v>0.87548147611045801</v>
      </c>
      <c r="K41" s="19">
        <v>3.1487582547481997E-2</v>
      </c>
      <c r="L41" s="19"/>
      <c r="M41" s="19"/>
      <c r="N41" s="19"/>
      <c r="O41" s="19"/>
      <c r="P41" s="19"/>
    </row>
    <row r="42" spans="2:16" x14ac:dyDescent="0.2">
      <c r="B42" t="s">
        <v>590</v>
      </c>
      <c r="C42" t="s">
        <v>403</v>
      </c>
      <c r="D42" s="18">
        <v>42556.428055555552</v>
      </c>
      <c r="E42" t="s">
        <v>165</v>
      </c>
      <c r="F42" s="19">
        <v>0.94578142608181603</v>
      </c>
      <c r="G42" s="19">
        <v>0.80424032489249897</v>
      </c>
      <c r="H42" s="19">
        <v>0.87553958053094805</v>
      </c>
      <c r="I42" s="19">
        <v>5.0054742145219301E-2</v>
      </c>
      <c r="J42" s="19">
        <v>0.91554200558184595</v>
      </c>
      <c r="K42" s="19">
        <v>4.0484273187339603E-2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403</v>
      </c>
      <c r="C44" t="s">
        <v>403</v>
      </c>
      <c r="D44" s="18">
        <v>42556.428055555552</v>
      </c>
      <c r="E44" t="s">
        <v>664</v>
      </c>
      <c r="F44" s="19">
        <v>0.96150918889306902</v>
      </c>
      <c r="G44" s="19">
        <v>0.85992397699140799</v>
      </c>
      <c r="H44" s="19">
        <v>0.87814200969922895</v>
      </c>
      <c r="I44" s="19">
        <v>1.8008126017852E-2</v>
      </c>
      <c r="J44" s="19">
        <v>0.91064877242244402</v>
      </c>
      <c r="K44" s="19">
        <v>1.79454044209971E-2</v>
      </c>
      <c r="L44" s="19"/>
      <c r="M44" s="19"/>
      <c r="N44" s="19"/>
      <c r="O44" s="19"/>
      <c r="P44" s="19"/>
    </row>
    <row r="45" spans="2:16" x14ac:dyDescent="0.2">
      <c r="B45" t="s">
        <v>210</v>
      </c>
      <c r="C45" t="s">
        <v>368</v>
      </c>
      <c r="D45" s="18">
        <v>42556.428055555552</v>
      </c>
      <c r="E45" t="s">
        <v>99</v>
      </c>
      <c r="F45" s="19">
        <v>0.94628007849308804</v>
      </c>
      <c r="G45" s="19">
        <v>0.89027388022362897</v>
      </c>
      <c r="H45" s="19">
        <v>0.90797815441669005</v>
      </c>
      <c r="I45" s="19">
        <v>4.0546343801548902E-2</v>
      </c>
      <c r="J45" s="19">
        <v>0.86444863285205198</v>
      </c>
      <c r="K45" s="19">
        <v>5.6895880287101103E-2</v>
      </c>
      <c r="L45" s="19">
        <v>1</v>
      </c>
      <c r="M45" s="19">
        <v>0.94104774258337198</v>
      </c>
      <c r="N45" s="19">
        <v>4.0168640763625002E-2</v>
      </c>
      <c r="O45" s="19">
        <v>0.94488559649514903</v>
      </c>
      <c r="P45" s="19">
        <v>3.8677062646118102E-2</v>
      </c>
    </row>
    <row r="46" spans="2:16" x14ac:dyDescent="0.2">
      <c r="B46" t="s">
        <v>525</v>
      </c>
      <c r="C46" t="s">
        <v>368</v>
      </c>
      <c r="D46" s="18">
        <v>42556.428055555552</v>
      </c>
      <c r="E46" t="s">
        <v>99</v>
      </c>
      <c r="F46" s="19">
        <v>0.94628007849308804</v>
      </c>
      <c r="G46" s="19">
        <v>0.89027388022362897</v>
      </c>
      <c r="H46" s="19">
        <v>0.90797815441669005</v>
      </c>
      <c r="I46" s="19">
        <v>4.0546343801548902E-2</v>
      </c>
      <c r="J46" s="19">
        <v>0.86444863285205198</v>
      </c>
      <c r="K46" s="19">
        <v>5.6895880287101103E-2</v>
      </c>
      <c r="L46" s="19">
        <v>1</v>
      </c>
      <c r="M46" s="19">
        <v>0.94104774258337198</v>
      </c>
      <c r="N46" s="19">
        <v>4.0168640763625002E-2</v>
      </c>
      <c r="O46" s="19">
        <v>0.94488559649514903</v>
      </c>
      <c r="P46" s="19">
        <v>3.8677062646118102E-2</v>
      </c>
    </row>
    <row r="47" spans="2:16" x14ac:dyDescent="0.2">
      <c r="B47" t="s">
        <v>594</v>
      </c>
      <c r="C47" t="s">
        <v>403</v>
      </c>
      <c r="D47" s="18">
        <v>42556.428055555552</v>
      </c>
      <c r="E47" t="s">
        <v>167</v>
      </c>
      <c r="F47" s="19">
        <v>0.95186912939378798</v>
      </c>
      <c r="G47" s="19">
        <v>0.84533420472602405</v>
      </c>
      <c r="H47" s="19">
        <v>0.86701454288797797</v>
      </c>
      <c r="I47" s="19">
        <v>5.4772140068105303E-2</v>
      </c>
      <c r="J47" s="19">
        <v>0.93536336273841003</v>
      </c>
      <c r="K47" s="19">
        <v>4.1256894590360499E-2</v>
      </c>
      <c r="L47" s="19"/>
      <c r="M47" s="19"/>
      <c r="N47" s="19"/>
      <c r="O47" s="19"/>
      <c r="P47" s="19"/>
    </row>
    <row r="48" spans="2:16" x14ac:dyDescent="0.2">
      <c r="B48" t="s">
        <v>528</v>
      </c>
      <c r="C48" t="s">
        <v>368</v>
      </c>
      <c r="D48" s="18">
        <v>42556.428055555552</v>
      </c>
      <c r="E48" t="s">
        <v>142</v>
      </c>
      <c r="F48" s="19">
        <v>0.95793217049462098</v>
      </c>
      <c r="G48" s="19">
        <v>0.85860801647551099</v>
      </c>
      <c r="H48" s="19">
        <v>0.87937727771437402</v>
      </c>
      <c r="I48" s="19">
        <v>4.7506445381002002E-2</v>
      </c>
      <c r="J48" s="19">
        <v>0.88973110411783196</v>
      </c>
      <c r="K48" s="19">
        <v>5.6191515520256599E-2</v>
      </c>
      <c r="L48" s="19"/>
      <c r="M48" s="19"/>
      <c r="N48" s="19"/>
      <c r="O48" s="19"/>
      <c r="P48" s="19"/>
    </row>
    <row r="49" spans="2:16" x14ac:dyDescent="0.2">
      <c r="B49" t="s">
        <v>602</v>
      </c>
      <c r="C49" t="s">
        <v>403</v>
      </c>
      <c r="D49" s="18">
        <v>42556.428055555552</v>
      </c>
      <c r="E49" t="s">
        <v>170</v>
      </c>
      <c r="F49" s="19">
        <v>0.99354743120839195</v>
      </c>
      <c r="G49" s="19">
        <v>1</v>
      </c>
      <c r="H49" s="19">
        <v>0.90387287149083595</v>
      </c>
      <c r="I49" s="19">
        <v>5.1179683129794602E-2</v>
      </c>
      <c r="J49" s="19">
        <v>0.91946668284004496</v>
      </c>
      <c r="K49" s="19">
        <v>4.5588233395152097E-2</v>
      </c>
      <c r="L49" s="19"/>
      <c r="M49" s="19"/>
      <c r="N49" s="19"/>
      <c r="O49" s="19"/>
      <c r="P49" s="19"/>
    </row>
    <row r="50" spans="2:16" x14ac:dyDescent="0.2">
      <c r="B50" t="s">
        <v>513</v>
      </c>
      <c r="C50" t="s">
        <v>368</v>
      </c>
      <c r="D50" s="18">
        <v>42556.428055555552</v>
      </c>
      <c r="E50" t="s">
        <v>137</v>
      </c>
      <c r="F50" s="19">
        <v>0.94296670230941904</v>
      </c>
      <c r="G50" s="19">
        <v>0.85349718209980197</v>
      </c>
      <c r="H50" s="19">
        <v>0.88856606333828703</v>
      </c>
      <c r="I50" s="19">
        <v>5.0706483762728398E-2</v>
      </c>
      <c r="J50" s="19">
        <v>0.93977915265468903</v>
      </c>
      <c r="K50" s="19">
        <v>3.9216633604310797E-2</v>
      </c>
      <c r="L50" s="19"/>
      <c r="M50" s="19"/>
      <c r="N50" s="19"/>
      <c r="O50" s="19"/>
      <c r="P50" s="19"/>
    </row>
    <row r="51" spans="2:16" x14ac:dyDescent="0.2">
      <c r="B51" t="s">
        <v>610</v>
      </c>
      <c r="C51" t="s">
        <v>403</v>
      </c>
      <c r="D51" s="18">
        <v>42556.428055555552</v>
      </c>
      <c r="E51" t="s">
        <v>174</v>
      </c>
      <c r="F51" s="19">
        <v>0.96176565631292998</v>
      </c>
      <c r="G51" s="19">
        <v>0.90628068739770895</v>
      </c>
      <c r="H51" s="19">
        <v>0.89628375857952802</v>
      </c>
      <c r="I51" s="19">
        <v>4.6870863468279803E-2</v>
      </c>
      <c r="J51" s="19">
        <v>0.90183443168934196</v>
      </c>
      <c r="K51" s="19">
        <v>5.4740519223620603E-2</v>
      </c>
      <c r="L51" s="19"/>
      <c r="M51" s="19"/>
      <c r="N51" s="19"/>
      <c r="O51" s="19"/>
      <c r="P51" s="19"/>
    </row>
    <row r="52" spans="2:16" x14ac:dyDescent="0.2">
      <c r="B52" t="s">
        <v>534</v>
      </c>
      <c r="C52" t="s">
        <v>368</v>
      </c>
      <c r="D52" s="18">
        <v>42556.428055555552</v>
      </c>
      <c r="E52" t="s">
        <v>103</v>
      </c>
      <c r="F52" s="19">
        <v>0.94995038186049097</v>
      </c>
      <c r="G52" s="19">
        <v>0.81953368490708001</v>
      </c>
      <c r="H52" s="19">
        <v>0.89004359705665703</v>
      </c>
      <c r="I52" s="19">
        <v>4.6643099069139E-2</v>
      </c>
      <c r="J52" s="19">
        <v>0.89970755114911505</v>
      </c>
      <c r="K52" s="19">
        <v>4.5651227068979901E-2</v>
      </c>
      <c r="L52" s="19"/>
      <c r="M52" s="19"/>
      <c r="N52" s="19"/>
      <c r="O52" s="19"/>
      <c r="P52" s="19"/>
    </row>
    <row r="53" spans="2:16" x14ac:dyDescent="0.2">
      <c r="B53" t="s">
        <v>587</v>
      </c>
      <c r="C53" t="s">
        <v>384</v>
      </c>
      <c r="D53" s="18">
        <v>42556.428055555552</v>
      </c>
      <c r="E53" t="s">
        <v>164</v>
      </c>
      <c r="F53" s="19">
        <v>0.96856994295735299</v>
      </c>
      <c r="G53" s="19">
        <v>0.88907296039940997</v>
      </c>
      <c r="H53" s="19">
        <v>0.90955848358761004</v>
      </c>
      <c r="I53" s="19">
        <v>4.5921829533085698E-2</v>
      </c>
      <c r="J53" s="19">
        <v>0.96491714220444402</v>
      </c>
      <c r="K53" s="19">
        <v>3.5120368666195702E-2</v>
      </c>
      <c r="L53" s="252"/>
      <c r="M53" s="252"/>
      <c r="N53" s="252"/>
      <c r="O53" s="252"/>
      <c r="P53" s="252"/>
    </row>
    <row r="54" spans="2:16" x14ac:dyDescent="0.2">
      <c r="B54" t="s">
        <v>623</v>
      </c>
      <c r="C54" t="s">
        <v>403</v>
      </c>
      <c r="D54" s="18">
        <v>42556.428055555552</v>
      </c>
      <c r="E54" t="s">
        <v>179</v>
      </c>
      <c r="F54" s="19">
        <v>0.95038737761853098</v>
      </c>
      <c r="G54" s="19">
        <v>0.77528559684780496</v>
      </c>
      <c r="H54" s="19">
        <v>0.84395644879729703</v>
      </c>
      <c r="I54" s="19">
        <v>5.0155223110998903E-2</v>
      </c>
      <c r="J54" s="19">
        <v>0.89524205661178302</v>
      </c>
      <c r="K54" s="19">
        <v>4.8280029286120699E-2</v>
      </c>
      <c r="L54" s="19"/>
      <c r="M54" s="19"/>
      <c r="N54" s="19"/>
      <c r="O54" s="19"/>
      <c r="P54" s="19"/>
    </row>
    <row r="55" spans="2:16" x14ac:dyDescent="0.2">
      <c r="B55" t="s">
        <v>612</v>
      </c>
      <c r="C55" t="s">
        <v>379</v>
      </c>
      <c r="D55" s="18">
        <v>42556.428055555552</v>
      </c>
      <c r="E55" t="s">
        <v>175</v>
      </c>
      <c r="F55" s="19">
        <v>0.88313049546406097</v>
      </c>
      <c r="G55" s="19">
        <v>0.70910718645723103</v>
      </c>
      <c r="H55" s="19">
        <v>0.81229489100380303</v>
      </c>
      <c r="I55" s="19">
        <v>5.3933272903807901E-2</v>
      </c>
      <c r="J55" s="19">
        <v>0.82327842143192898</v>
      </c>
      <c r="K55" s="19">
        <v>5.6424903768481097E-2</v>
      </c>
      <c r="L55" s="19"/>
      <c r="M55" s="19"/>
      <c r="N55" s="19"/>
      <c r="O55" s="19"/>
      <c r="P55" s="19"/>
    </row>
    <row r="56" spans="2:16" x14ac:dyDescent="0.2">
      <c r="B56" t="s">
        <v>596</v>
      </c>
      <c r="C56" t="s">
        <v>403</v>
      </c>
      <c r="D56" s="18">
        <v>42556.428055555552</v>
      </c>
      <c r="E56" t="s">
        <v>168</v>
      </c>
      <c r="F56" s="19">
        <v>0.96779325023575602</v>
      </c>
      <c r="G56" s="19">
        <v>0.87364031907179096</v>
      </c>
      <c r="H56" s="19">
        <v>0.89016602074619799</v>
      </c>
      <c r="I56" s="19">
        <v>4.5304074210308798E-2</v>
      </c>
      <c r="J56" s="19">
        <v>0.93013291182195101</v>
      </c>
      <c r="K56" s="19">
        <v>3.7898654439485098E-2</v>
      </c>
      <c r="L56" s="19"/>
      <c r="M56" s="19"/>
      <c r="N56" s="19"/>
      <c r="O56" s="19"/>
      <c r="P56" s="19"/>
    </row>
    <row r="57" spans="2:16" x14ac:dyDescent="0.2">
      <c r="B57" t="s">
        <v>634</v>
      </c>
      <c r="C57" t="s">
        <v>389</v>
      </c>
      <c r="D57" s="18">
        <v>42556.428055555552</v>
      </c>
      <c r="E57" t="s">
        <v>184</v>
      </c>
      <c r="F57" s="19">
        <v>0.95675790567508201</v>
      </c>
      <c r="G57" s="19">
        <v>0.81039755351681897</v>
      </c>
      <c r="H57" s="19">
        <v>0.877275580665411</v>
      </c>
      <c r="I57" s="19">
        <v>5.4463166690014997E-2</v>
      </c>
      <c r="J57" s="19">
        <v>0.95956572769952997</v>
      </c>
      <c r="K57" s="19">
        <v>3.38285608115486E-2</v>
      </c>
      <c r="L57" s="19"/>
      <c r="M57" s="19"/>
      <c r="N57" s="19"/>
      <c r="O57" s="19"/>
      <c r="P57" s="19"/>
    </row>
    <row r="58" spans="2:16" x14ac:dyDescent="0.2">
      <c r="B58" t="s">
        <v>379</v>
      </c>
      <c r="C58" t="s">
        <v>379</v>
      </c>
      <c r="D58" s="18">
        <v>42556.428055555552</v>
      </c>
      <c r="E58" t="s">
        <v>660</v>
      </c>
      <c r="F58" s="19">
        <v>0.92574430410102804</v>
      </c>
      <c r="G58" s="19">
        <v>0.82153637237027899</v>
      </c>
      <c r="H58" s="19">
        <v>0.86913939850232103</v>
      </c>
      <c r="I58" s="19">
        <v>2.2204941282430501E-2</v>
      </c>
      <c r="J58" s="19">
        <v>0.87642825582651795</v>
      </c>
      <c r="K58" s="19">
        <v>2.9395311172146801E-2</v>
      </c>
      <c r="L58" s="19"/>
      <c r="M58" s="19"/>
      <c r="N58" s="19"/>
      <c r="O58" s="19"/>
      <c r="P58" s="19"/>
    </row>
    <row r="59" spans="2:16" x14ac:dyDescent="0.2">
      <c r="B59" t="s">
        <v>573</v>
      </c>
      <c r="C59" t="s">
        <v>389</v>
      </c>
      <c r="D59" s="18">
        <v>42556.428055555552</v>
      </c>
      <c r="E59" t="s">
        <v>158</v>
      </c>
      <c r="F59" s="19">
        <v>0.97733865379560803</v>
      </c>
      <c r="G59" s="19">
        <v>0.89801273227804501</v>
      </c>
      <c r="H59" s="19">
        <v>0.915362908480992</v>
      </c>
      <c r="I59" s="19">
        <v>4.0373743061803198E-2</v>
      </c>
      <c r="J59" s="19">
        <v>0.83440824879934805</v>
      </c>
      <c r="K59" s="19">
        <v>5.7303281977683897E-2</v>
      </c>
      <c r="L59" s="19"/>
      <c r="M59" s="19"/>
      <c r="N59" s="19"/>
      <c r="O59" s="19"/>
      <c r="P59" s="19"/>
    </row>
    <row r="60" spans="2:16" x14ac:dyDescent="0.2">
      <c r="B60" t="s">
        <v>212</v>
      </c>
      <c r="C60" t="s">
        <v>389</v>
      </c>
      <c r="D60" s="18">
        <v>42556.428055555552</v>
      </c>
      <c r="E60" t="s">
        <v>161</v>
      </c>
      <c r="F60" s="19">
        <v>0.95057287838573201</v>
      </c>
      <c r="G60" s="19">
        <v>0.91060008164376105</v>
      </c>
      <c r="H60" s="19">
        <v>0.95515693342946395</v>
      </c>
      <c r="I60" s="19">
        <v>3.5979609876492999E-2</v>
      </c>
      <c r="J60" s="19">
        <v>0.90472269728810695</v>
      </c>
      <c r="K60" s="19">
        <v>4.5788712491312E-2</v>
      </c>
      <c r="L60" s="19">
        <v>1</v>
      </c>
      <c r="M60" s="19">
        <v>0.99143651029663205</v>
      </c>
      <c r="N60" s="19">
        <v>1.2784329961668801E-2</v>
      </c>
      <c r="O60" s="19">
        <v>0.98094927418039501</v>
      </c>
      <c r="P60" s="19">
        <v>2.30989770379884E-2</v>
      </c>
    </row>
    <row r="61" spans="2:16" x14ac:dyDescent="0.2">
      <c r="B61" t="s">
        <v>579</v>
      </c>
      <c r="C61" t="s">
        <v>389</v>
      </c>
      <c r="D61" s="18">
        <v>42556.428055555552</v>
      </c>
      <c r="E61" t="s">
        <v>161</v>
      </c>
      <c r="F61" s="19">
        <v>0.95057287838573201</v>
      </c>
      <c r="G61" s="19">
        <v>0.91060008164376105</v>
      </c>
      <c r="H61" s="19">
        <v>0.95515693342946395</v>
      </c>
      <c r="I61" s="19">
        <v>3.5979609876492999E-2</v>
      </c>
      <c r="J61" s="19">
        <v>0.90472269728810695</v>
      </c>
      <c r="K61" s="19">
        <v>4.5788712491312E-2</v>
      </c>
      <c r="L61" s="19">
        <v>1</v>
      </c>
      <c r="M61" s="19">
        <v>0.99143651029663205</v>
      </c>
      <c r="N61" s="19">
        <v>1.2784329961668801E-2</v>
      </c>
      <c r="O61" s="19">
        <v>0.98094927418039501</v>
      </c>
      <c r="P61" s="19">
        <v>2.30989770379884E-2</v>
      </c>
    </row>
    <row r="62" spans="2:16" x14ac:dyDescent="0.2">
      <c r="B62" t="s">
        <v>540</v>
      </c>
      <c r="C62" t="s">
        <v>379</v>
      </c>
      <c r="D62" s="18">
        <v>42556.428055555552</v>
      </c>
      <c r="E62" t="s">
        <v>146</v>
      </c>
      <c r="F62" s="19">
        <v>0.92574360958842705</v>
      </c>
      <c r="G62" s="19">
        <v>0.79807178969428605</v>
      </c>
      <c r="H62" s="19">
        <v>0.84907403358581801</v>
      </c>
      <c r="I62" s="19">
        <v>5.5477817429652798E-2</v>
      </c>
      <c r="J62" s="19">
        <v>0.83262893391882598</v>
      </c>
      <c r="K62" s="19">
        <v>7.8835149283419406E-2</v>
      </c>
      <c r="L62" s="19"/>
      <c r="M62" s="19"/>
      <c r="N62" s="19"/>
      <c r="O62" s="19"/>
      <c r="P62" s="19"/>
    </row>
    <row r="63" spans="2:16" x14ac:dyDescent="0.2">
      <c r="B63" t="s">
        <v>626</v>
      </c>
      <c r="C63" t="s">
        <v>368</v>
      </c>
      <c r="D63" s="18">
        <v>42556.428055555552</v>
      </c>
      <c r="E63" t="s">
        <v>180</v>
      </c>
      <c r="F63" s="19">
        <v>0.95099421506928705</v>
      </c>
      <c r="G63" s="19">
        <v>0.86820493236588803</v>
      </c>
      <c r="H63" s="19">
        <v>0.882147152333979</v>
      </c>
      <c r="I63" s="19">
        <v>5.0737305494407997E-2</v>
      </c>
      <c r="J63" s="19">
        <v>0.94162719388572302</v>
      </c>
      <c r="K63" s="19">
        <v>3.6865638105428603E-2</v>
      </c>
      <c r="L63" s="19"/>
      <c r="M63" s="19"/>
      <c r="N63" s="19"/>
      <c r="O63" s="19"/>
      <c r="P63" s="19"/>
    </row>
    <row r="64" spans="2:16" x14ac:dyDescent="0.2">
      <c r="B64" t="s">
        <v>695</v>
      </c>
      <c r="C64" t="s">
        <v>6</v>
      </c>
      <c r="D64" s="18">
        <v>42556.428055555552</v>
      </c>
      <c r="E64" t="s">
        <v>436</v>
      </c>
      <c r="F64" s="19"/>
      <c r="G64" s="19"/>
      <c r="H64" s="19"/>
      <c r="I64" s="19"/>
      <c r="J64" s="19"/>
      <c r="K64" s="19"/>
      <c r="L64" s="19">
        <v>0.98909889862257405</v>
      </c>
      <c r="M64" s="19">
        <v>0.962461420830656</v>
      </c>
      <c r="N64" s="19">
        <v>1.89323408092755E-2</v>
      </c>
      <c r="O64" s="19">
        <v>0.96839693342882505</v>
      </c>
      <c r="P64" s="19">
        <v>1.7865746849166E-2</v>
      </c>
    </row>
    <row r="65" spans="2:16" x14ac:dyDescent="0.2">
      <c r="B65" t="s">
        <v>697</v>
      </c>
      <c r="C65" t="s">
        <v>6</v>
      </c>
      <c r="D65" s="18">
        <v>42556.428055555552</v>
      </c>
      <c r="E65" t="s">
        <v>436</v>
      </c>
      <c r="F65" s="19">
        <v>0.95168781246098</v>
      </c>
      <c r="G65" s="19">
        <v>0.86588343156635506</v>
      </c>
      <c r="H65" s="19">
        <v>0.885974049178335</v>
      </c>
      <c r="I65" s="19">
        <v>7.8611549572085004E-3</v>
      </c>
      <c r="J65" s="19">
        <v>0.89787886833437702</v>
      </c>
      <c r="K65" s="19">
        <v>1.1898620119243E-2</v>
      </c>
      <c r="L65" s="19">
        <v>0.98909889862257405</v>
      </c>
      <c r="M65" s="19">
        <v>0.962461420830656</v>
      </c>
      <c r="N65" s="19">
        <v>1.89323408092755E-2</v>
      </c>
      <c r="O65" s="19">
        <v>0.96839693342882505</v>
      </c>
      <c r="P65" s="19">
        <v>1.7865746849166E-2</v>
      </c>
    </row>
    <row r="66" spans="2:16" x14ac:dyDescent="0.2">
      <c r="B66" t="s">
        <v>604</v>
      </c>
      <c r="C66" t="s">
        <v>384</v>
      </c>
      <c r="D66" s="18">
        <v>42556.428055555552</v>
      </c>
      <c r="E66" t="s">
        <v>171</v>
      </c>
      <c r="F66" s="19">
        <v>0.94637202466813097</v>
      </c>
      <c r="G66" s="19">
        <v>0.91500744850259397</v>
      </c>
      <c r="H66" s="19">
        <v>0.88686771961349897</v>
      </c>
      <c r="I66" s="19">
        <v>4.7485470709738603E-2</v>
      </c>
      <c r="J66" s="19">
        <v>0.874680502987491</v>
      </c>
      <c r="K66" s="19">
        <v>5.0026952978333601E-2</v>
      </c>
      <c r="L66" s="19"/>
      <c r="M66" s="19"/>
      <c r="N66" s="19"/>
      <c r="O66" s="19"/>
      <c r="P66" s="19"/>
    </row>
    <row r="67" spans="2:16" x14ac:dyDescent="0.2">
      <c r="B67" t="s">
        <v>669</v>
      </c>
      <c r="C67" t="s">
        <v>368</v>
      </c>
      <c r="D67" s="18">
        <v>42556.428055555552</v>
      </c>
      <c r="E67" t="s">
        <v>668</v>
      </c>
      <c r="F67" s="152"/>
      <c r="G67" s="152"/>
      <c r="H67" s="152">
        <v>0.88995132366672203</v>
      </c>
      <c r="I67" s="152">
        <v>0.12137505344279099</v>
      </c>
      <c r="J67" s="152">
        <v>0.83391668862680102</v>
      </c>
      <c r="K67" s="152">
        <v>6.9000578092155998E-2</v>
      </c>
      <c r="L67" s="152"/>
      <c r="M67" s="152"/>
      <c r="N67" s="152"/>
      <c r="O67" s="152"/>
      <c r="P67" s="152"/>
    </row>
    <row r="68" spans="2:16" x14ac:dyDescent="0.2">
      <c r="B68" t="s">
        <v>628</v>
      </c>
      <c r="C68" t="s">
        <v>368</v>
      </c>
      <c r="D68" s="18">
        <v>42556.428055555552</v>
      </c>
      <c r="E68" t="s">
        <v>89</v>
      </c>
      <c r="F68" s="152">
        <v>0.92819112720934704</v>
      </c>
      <c r="G68" s="152">
        <v>0.85756607609642799</v>
      </c>
      <c r="H68" s="152">
        <v>0.86165169908625405</v>
      </c>
      <c r="I68" s="152">
        <v>4.51309145133931E-2</v>
      </c>
      <c r="J68" s="152">
        <v>0.89202927531595</v>
      </c>
      <c r="K68" s="152">
        <v>4.4870385383623999E-2</v>
      </c>
      <c r="L68" s="152"/>
      <c r="M68" s="152"/>
      <c r="N68" s="152"/>
      <c r="O68" s="152"/>
      <c r="P68" s="152"/>
    </row>
    <row r="69" spans="2:16" x14ac:dyDescent="0.2">
      <c r="B69" t="s">
        <v>638</v>
      </c>
      <c r="C69" t="s">
        <v>389</v>
      </c>
      <c r="D69" s="18">
        <v>42556.428055555552</v>
      </c>
      <c r="E69" t="s">
        <v>185</v>
      </c>
      <c r="F69" s="152">
        <v>0.89528176687167305</v>
      </c>
      <c r="G69" s="152">
        <v>0.81572469942251202</v>
      </c>
      <c r="H69" s="152">
        <v>0.88588254887097195</v>
      </c>
      <c r="I69" s="152">
        <v>5.14555711729629E-2</v>
      </c>
      <c r="J69" s="152">
        <v>0.90787479215807598</v>
      </c>
      <c r="K69" s="152">
        <v>5.9673802601130498E-2</v>
      </c>
      <c r="L69" s="152"/>
      <c r="M69" s="152"/>
      <c r="N69" s="152"/>
      <c r="O69" s="152"/>
      <c r="P69" s="152"/>
    </row>
    <row r="70" spans="2:16" x14ac:dyDescent="0.2">
      <c r="B70" t="s">
        <v>642</v>
      </c>
      <c r="C70" t="s">
        <v>368</v>
      </c>
      <c r="D70" s="18">
        <v>42556.428055555552</v>
      </c>
      <c r="E70" t="s">
        <v>187</v>
      </c>
      <c r="F70" s="152">
        <v>0.93471966306922905</v>
      </c>
      <c r="G70" s="152">
        <v>0.88203017832647501</v>
      </c>
      <c r="H70" s="152">
        <v>0.85926204227565595</v>
      </c>
      <c r="I70" s="152">
        <v>4.8008498261212298E-2</v>
      </c>
      <c r="J70" s="152">
        <v>0.918353174603175</v>
      </c>
      <c r="K70" s="152">
        <v>5.0309632027787897E-2</v>
      </c>
      <c r="L70" s="152"/>
      <c r="M70" s="152"/>
      <c r="N70" s="152"/>
      <c r="O70" s="152"/>
      <c r="P70" s="152"/>
    </row>
    <row r="71" spans="2:16" x14ac:dyDescent="0.2">
      <c r="B71" t="s">
        <v>542</v>
      </c>
      <c r="C71" t="s">
        <v>368</v>
      </c>
      <c r="D71" s="18">
        <v>42556.428055555552</v>
      </c>
      <c r="E71" t="s">
        <v>147</v>
      </c>
      <c r="F71" s="152">
        <v>0.97516311507695497</v>
      </c>
      <c r="G71" s="152">
        <v>0.89462189025807903</v>
      </c>
      <c r="H71" s="152">
        <v>0.86190657684410998</v>
      </c>
      <c r="I71" s="152">
        <v>4.8293107088046502E-2</v>
      </c>
      <c r="J71" s="152">
        <v>0.92634233480790296</v>
      </c>
      <c r="K71" s="152">
        <v>4.5502998631029898E-2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949</v>
      </c>
      <c r="C2" t="s">
        <v>950</v>
      </c>
      <c r="D2" t="s">
        <v>133</v>
      </c>
      <c r="F2" t="s">
        <v>944</v>
      </c>
      <c r="G2" t="s">
        <v>931</v>
      </c>
      <c r="H2" t="s">
        <v>932</v>
      </c>
      <c r="I2" t="s">
        <v>933</v>
      </c>
      <c r="J2" t="s">
        <v>934</v>
      </c>
      <c r="K2" t="s">
        <v>935</v>
      </c>
      <c r="L2" t="s">
        <v>936</v>
      </c>
      <c r="M2" t="s">
        <v>937</v>
      </c>
      <c r="N2" t="s">
        <v>938</v>
      </c>
      <c r="O2" t="s">
        <v>939</v>
      </c>
      <c r="P2" t="s">
        <v>940</v>
      </c>
      <c r="Q2" t="s">
        <v>941</v>
      </c>
      <c r="R2" t="s">
        <v>942</v>
      </c>
      <c r="S2" t="s">
        <v>943</v>
      </c>
      <c r="V2" t="s">
        <v>945</v>
      </c>
      <c r="W2" t="s">
        <v>931</v>
      </c>
      <c r="X2" t="s">
        <v>932</v>
      </c>
      <c r="Y2" t="s">
        <v>933</v>
      </c>
      <c r="Z2" t="s">
        <v>934</v>
      </c>
      <c r="AA2" t="s">
        <v>935</v>
      </c>
      <c r="AB2" t="s">
        <v>936</v>
      </c>
      <c r="AC2" t="s">
        <v>937</v>
      </c>
      <c r="AD2" t="s">
        <v>938</v>
      </c>
      <c r="AE2" t="s">
        <v>939</v>
      </c>
      <c r="AF2" t="s">
        <v>940</v>
      </c>
      <c r="AG2" t="s">
        <v>941</v>
      </c>
      <c r="AH2" t="s">
        <v>942</v>
      </c>
      <c r="AI2" t="s">
        <v>943</v>
      </c>
      <c r="AL2" t="s">
        <v>946</v>
      </c>
      <c r="AM2" t="s">
        <v>931</v>
      </c>
      <c r="AN2" t="s">
        <v>932</v>
      </c>
      <c r="AO2" t="s">
        <v>933</v>
      </c>
      <c r="AP2" t="s">
        <v>934</v>
      </c>
      <c r="AQ2" t="s">
        <v>935</v>
      </c>
      <c r="AR2" t="s">
        <v>936</v>
      </c>
      <c r="AS2" t="s">
        <v>937</v>
      </c>
      <c r="AT2" t="s">
        <v>938</v>
      </c>
      <c r="AU2" t="s">
        <v>939</v>
      </c>
      <c r="AV2" t="s">
        <v>940</v>
      </c>
      <c r="AW2" t="s">
        <v>941</v>
      </c>
      <c r="AX2" t="s">
        <v>942</v>
      </c>
      <c r="AY2" t="s">
        <v>943</v>
      </c>
    </row>
    <row r="3" spans="2:51" x14ac:dyDescent="0.2">
      <c r="B3" t="s">
        <v>952</v>
      </c>
      <c r="C3">
        <v>408917</v>
      </c>
      <c r="D3">
        <v>395.3421444201</v>
      </c>
      <c r="F3" t="s">
        <v>8</v>
      </c>
      <c r="G3">
        <v>11342</v>
      </c>
      <c r="P3">
        <v>11342</v>
      </c>
      <c r="Q3">
        <v>177.12009522970001</v>
      </c>
      <c r="V3" t="s">
        <v>309</v>
      </c>
      <c r="W3">
        <v>344</v>
      </c>
      <c r="X3">
        <v>218</v>
      </c>
      <c r="Y3">
        <v>350.04587155960002</v>
      </c>
      <c r="Z3">
        <v>86</v>
      </c>
      <c r="AA3">
        <v>458.68604651160001</v>
      </c>
      <c r="AB3">
        <v>90</v>
      </c>
      <c r="AC3">
        <v>395.31111111109999</v>
      </c>
      <c r="AD3">
        <v>24</v>
      </c>
      <c r="AE3">
        <v>722.70833333329995</v>
      </c>
      <c r="AF3">
        <v>11</v>
      </c>
      <c r="AG3">
        <v>252.45454545449999</v>
      </c>
      <c r="AH3">
        <v>1</v>
      </c>
      <c r="AI3">
        <v>541</v>
      </c>
      <c r="AL3" t="s">
        <v>309</v>
      </c>
      <c r="AM3">
        <v>0</v>
      </c>
      <c r="AP3">
        <v>1</v>
      </c>
      <c r="AQ3">
        <v>344</v>
      </c>
    </row>
    <row r="4" spans="2:51" x14ac:dyDescent="0.2">
      <c r="B4" t="s">
        <v>951</v>
      </c>
      <c r="C4">
        <v>34284</v>
      </c>
      <c r="D4">
        <v>395.3421444201</v>
      </c>
      <c r="F4" t="s">
        <v>8</v>
      </c>
      <c r="G4">
        <v>11342</v>
      </c>
      <c r="P4">
        <v>11342</v>
      </c>
      <c r="Q4">
        <v>177.12009522970001</v>
      </c>
      <c r="V4" t="s">
        <v>8</v>
      </c>
      <c r="W4">
        <v>4246</v>
      </c>
      <c r="X4">
        <v>3140</v>
      </c>
      <c r="Y4">
        <v>484.6377827334</v>
      </c>
      <c r="Z4">
        <v>579</v>
      </c>
      <c r="AA4">
        <v>484.43350604490001</v>
      </c>
      <c r="AB4">
        <v>460</v>
      </c>
      <c r="AC4">
        <v>414.62173913039999</v>
      </c>
      <c r="AD4">
        <v>609</v>
      </c>
      <c r="AE4">
        <v>842.93596059109996</v>
      </c>
      <c r="AF4">
        <v>35</v>
      </c>
      <c r="AG4">
        <v>401.4</v>
      </c>
      <c r="AH4">
        <v>2</v>
      </c>
      <c r="AI4">
        <v>126</v>
      </c>
      <c r="AL4" t="s">
        <v>8</v>
      </c>
      <c r="AM4">
        <v>32</v>
      </c>
      <c r="AN4">
        <v>28</v>
      </c>
      <c r="AO4">
        <v>177.42857142860001</v>
      </c>
      <c r="AP4">
        <v>15</v>
      </c>
      <c r="AQ4">
        <v>417.53333333329999</v>
      </c>
      <c r="AR4">
        <v>4</v>
      </c>
      <c r="AS4">
        <v>150</v>
      </c>
    </row>
    <row r="5" spans="2:51" x14ac:dyDescent="0.2">
      <c r="B5" t="s">
        <v>963</v>
      </c>
      <c r="C5">
        <v>31605</v>
      </c>
      <c r="D5">
        <v>561.3881980699</v>
      </c>
      <c r="F5" t="s">
        <v>43</v>
      </c>
      <c r="G5">
        <v>573</v>
      </c>
      <c r="H5">
        <v>491</v>
      </c>
      <c r="I5">
        <v>269.15682281059998</v>
      </c>
      <c r="J5">
        <v>57</v>
      </c>
      <c r="K5">
        <v>562.63157894740004</v>
      </c>
      <c r="L5">
        <v>70</v>
      </c>
      <c r="M5">
        <v>167.91428571430001</v>
      </c>
      <c r="N5">
        <v>12</v>
      </c>
      <c r="O5">
        <v>414</v>
      </c>
      <c r="V5" t="s">
        <v>8</v>
      </c>
      <c r="W5">
        <v>4590</v>
      </c>
      <c r="X5">
        <v>3358</v>
      </c>
      <c r="Y5">
        <v>475.89752755440003</v>
      </c>
      <c r="Z5">
        <v>665</v>
      </c>
      <c r="AA5">
        <v>481.10375939850002</v>
      </c>
      <c r="AB5">
        <v>550</v>
      </c>
      <c r="AC5">
        <v>411.46181818180003</v>
      </c>
      <c r="AD5">
        <v>633</v>
      </c>
      <c r="AE5">
        <v>838.37756714060004</v>
      </c>
      <c r="AF5">
        <v>46</v>
      </c>
      <c r="AG5">
        <v>365.78260869569999</v>
      </c>
      <c r="AH5">
        <v>3</v>
      </c>
      <c r="AI5">
        <v>264.3333333333</v>
      </c>
      <c r="AL5" t="s">
        <v>8</v>
      </c>
      <c r="AM5">
        <v>32</v>
      </c>
      <c r="AN5">
        <v>28</v>
      </c>
      <c r="AO5">
        <v>177.42857142860001</v>
      </c>
      <c r="AP5">
        <v>16</v>
      </c>
      <c r="AQ5">
        <v>412.9375</v>
      </c>
      <c r="AR5">
        <v>4</v>
      </c>
      <c r="AS5">
        <v>150</v>
      </c>
    </row>
    <row r="6" spans="2:51" x14ac:dyDescent="0.2">
      <c r="B6" t="s">
        <v>241</v>
      </c>
      <c r="C6">
        <v>51667</v>
      </c>
      <c r="D6">
        <v>528.01840633289999</v>
      </c>
      <c r="F6" t="s">
        <v>37</v>
      </c>
      <c r="G6">
        <v>8266</v>
      </c>
      <c r="H6">
        <v>6664</v>
      </c>
      <c r="I6">
        <v>444.7879651861</v>
      </c>
      <c r="J6">
        <v>448</v>
      </c>
      <c r="K6">
        <v>943.29464285710003</v>
      </c>
      <c r="L6">
        <v>1081</v>
      </c>
      <c r="M6">
        <v>633.61054579090001</v>
      </c>
      <c r="N6">
        <v>499</v>
      </c>
      <c r="O6">
        <v>586.83166332669998</v>
      </c>
      <c r="R6">
        <v>22</v>
      </c>
      <c r="S6">
        <v>533.77272727269997</v>
      </c>
      <c r="V6" t="s">
        <v>398</v>
      </c>
      <c r="W6">
        <v>1496</v>
      </c>
      <c r="X6">
        <v>862</v>
      </c>
      <c r="Y6">
        <v>193.96287703019999</v>
      </c>
      <c r="Z6">
        <v>176</v>
      </c>
      <c r="AA6">
        <v>306.35227272729998</v>
      </c>
      <c r="AB6">
        <v>450</v>
      </c>
      <c r="AC6">
        <v>311.13111111109998</v>
      </c>
      <c r="AD6">
        <v>120</v>
      </c>
      <c r="AE6">
        <v>309.56666666669997</v>
      </c>
      <c r="AF6">
        <v>62</v>
      </c>
      <c r="AG6">
        <v>194.53225806450001</v>
      </c>
      <c r="AH6">
        <v>2</v>
      </c>
      <c r="AI6">
        <v>173</v>
      </c>
      <c r="AL6" t="s">
        <v>398</v>
      </c>
      <c r="AM6">
        <v>28</v>
      </c>
      <c r="AN6">
        <v>20</v>
      </c>
      <c r="AO6">
        <v>133.9</v>
      </c>
      <c r="AP6">
        <v>20</v>
      </c>
      <c r="AQ6">
        <v>221.95</v>
      </c>
      <c r="AR6">
        <v>8</v>
      </c>
      <c r="AS6">
        <v>270.625</v>
      </c>
    </row>
    <row r="7" spans="2:51" x14ac:dyDescent="0.2">
      <c r="B7" t="s">
        <v>240</v>
      </c>
      <c r="C7">
        <v>231679</v>
      </c>
      <c r="D7">
        <v>409.62963586450002</v>
      </c>
      <c r="F7" t="s">
        <v>42</v>
      </c>
      <c r="G7">
        <v>4905</v>
      </c>
      <c r="H7">
        <v>3427</v>
      </c>
      <c r="I7">
        <v>375.22964692149998</v>
      </c>
      <c r="J7">
        <v>1051</v>
      </c>
      <c r="K7">
        <v>479.75642245479997</v>
      </c>
      <c r="L7">
        <v>899</v>
      </c>
      <c r="M7">
        <v>438.08008898780002</v>
      </c>
      <c r="N7">
        <v>541</v>
      </c>
      <c r="O7">
        <v>402.78743068390003</v>
      </c>
      <c r="R7">
        <v>38</v>
      </c>
      <c r="S7">
        <v>437.76315789469999</v>
      </c>
      <c r="V7" t="s">
        <v>390</v>
      </c>
      <c r="W7">
        <v>12604</v>
      </c>
      <c r="X7">
        <v>9334</v>
      </c>
      <c r="Y7">
        <v>645.36029569319999</v>
      </c>
      <c r="Z7">
        <v>802</v>
      </c>
      <c r="AA7">
        <v>962.67082294260001</v>
      </c>
      <c r="AB7">
        <v>2287</v>
      </c>
      <c r="AC7">
        <v>1105.7481416702999</v>
      </c>
      <c r="AD7">
        <v>740</v>
      </c>
      <c r="AE7">
        <v>902.24189189189997</v>
      </c>
      <c r="AF7">
        <v>228</v>
      </c>
      <c r="AG7">
        <v>168.81578947369999</v>
      </c>
      <c r="AH7">
        <v>15</v>
      </c>
      <c r="AI7">
        <v>909.13333333330002</v>
      </c>
      <c r="AL7" t="s">
        <v>390</v>
      </c>
      <c r="AM7">
        <v>288</v>
      </c>
      <c r="AN7">
        <v>190</v>
      </c>
      <c r="AO7">
        <v>380.16315789470002</v>
      </c>
      <c r="AP7">
        <v>34</v>
      </c>
      <c r="AQ7">
        <v>835.3235294118</v>
      </c>
      <c r="AR7">
        <v>95</v>
      </c>
      <c r="AS7">
        <v>339.30526315790001</v>
      </c>
      <c r="AT7">
        <v>3</v>
      </c>
      <c r="AU7">
        <v>753</v>
      </c>
    </row>
    <row r="8" spans="2:51" x14ac:dyDescent="0.2">
      <c r="B8" t="s">
        <v>242</v>
      </c>
      <c r="C8">
        <v>22360</v>
      </c>
      <c r="D8">
        <v>504.6063439513</v>
      </c>
      <c r="F8" t="s">
        <v>50</v>
      </c>
      <c r="G8">
        <v>1242</v>
      </c>
      <c r="H8">
        <v>608</v>
      </c>
      <c r="I8">
        <v>328.45065789469999</v>
      </c>
      <c r="J8">
        <v>533</v>
      </c>
      <c r="K8">
        <v>361.24953095680002</v>
      </c>
      <c r="L8">
        <v>473</v>
      </c>
      <c r="M8">
        <v>166.2748414376</v>
      </c>
      <c r="N8">
        <v>160</v>
      </c>
      <c r="O8">
        <v>210.96875</v>
      </c>
      <c r="R8">
        <v>1</v>
      </c>
      <c r="S8">
        <v>250</v>
      </c>
      <c r="V8" t="s">
        <v>421</v>
      </c>
      <c r="W8">
        <v>1347</v>
      </c>
      <c r="X8">
        <v>943</v>
      </c>
      <c r="Y8">
        <v>215.33828207849999</v>
      </c>
      <c r="Z8">
        <v>166</v>
      </c>
      <c r="AA8">
        <v>342.96987951810002</v>
      </c>
      <c r="AB8">
        <v>146</v>
      </c>
      <c r="AC8">
        <v>184.65753424659999</v>
      </c>
      <c r="AD8">
        <v>158</v>
      </c>
      <c r="AE8">
        <v>384.77215189869997</v>
      </c>
      <c r="AF8">
        <v>95</v>
      </c>
      <c r="AG8">
        <v>156.37894736839999</v>
      </c>
      <c r="AH8">
        <v>5</v>
      </c>
      <c r="AI8">
        <v>378.2</v>
      </c>
      <c r="AL8" t="s">
        <v>421</v>
      </c>
      <c r="AM8">
        <v>25</v>
      </c>
      <c r="AN8">
        <v>20</v>
      </c>
      <c r="AO8">
        <v>140.5</v>
      </c>
      <c r="AP8">
        <v>9</v>
      </c>
      <c r="AQ8">
        <v>338.2222222222</v>
      </c>
      <c r="AR8">
        <v>5</v>
      </c>
      <c r="AS8">
        <v>247.6</v>
      </c>
    </row>
    <row r="9" spans="2:51" x14ac:dyDescent="0.2">
      <c r="B9" t="s">
        <v>243</v>
      </c>
      <c r="C9">
        <v>11342</v>
      </c>
      <c r="D9">
        <v>177.12009522970001</v>
      </c>
      <c r="F9" t="s">
        <v>81</v>
      </c>
      <c r="G9">
        <v>1327</v>
      </c>
      <c r="H9">
        <v>1021</v>
      </c>
      <c r="I9">
        <v>244.15768854059999</v>
      </c>
      <c r="J9">
        <v>226</v>
      </c>
      <c r="K9">
        <v>392.90265486729999</v>
      </c>
      <c r="L9">
        <v>133</v>
      </c>
      <c r="M9">
        <v>138.12781954889999</v>
      </c>
      <c r="N9">
        <v>169</v>
      </c>
      <c r="O9">
        <v>369.32544378699998</v>
      </c>
      <c r="R9">
        <v>4</v>
      </c>
      <c r="S9">
        <v>208.25</v>
      </c>
      <c r="V9" t="s">
        <v>391</v>
      </c>
      <c r="W9">
        <v>8109</v>
      </c>
      <c r="X9">
        <v>6264</v>
      </c>
      <c r="Y9">
        <v>504.33492975730002</v>
      </c>
      <c r="Z9">
        <v>473</v>
      </c>
      <c r="AA9">
        <v>924.23255813950004</v>
      </c>
      <c r="AB9">
        <v>1330</v>
      </c>
      <c r="AC9">
        <v>901.89473684209997</v>
      </c>
      <c r="AD9">
        <v>390</v>
      </c>
      <c r="AE9">
        <v>688.60512820509996</v>
      </c>
      <c r="AF9">
        <v>124</v>
      </c>
      <c r="AG9">
        <v>156.29838709680001</v>
      </c>
      <c r="AH9">
        <v>1</v>
      </c>
      <c r="AI9">
        <v>373</v>
      </c>
      <c r="AL9" t="s">
        <v>391</v>
      </c>
      <c r="AM9">
        <v>139</v>
      </c>
      <c r="AN9">
        <v>106</v>
      </c>
      <c r="AO9">
        <v>350.88679245280002</v>
      </c>
      <c r="AP9">
        <v>21</v>
      </c>
      <c r="AQ9">
        <v>742.19047619050002</v>
      </c>
      <c r="AR9">
        <v>30</v>
      </c>
      <c r="AS9">
        <v>206.3</v>
      </c>
      <c r="AT9">
        <v>3</v>
      </c>
      <c r="AU9">
        <v>23.666666666699999</v>
      </c>
    </row>
    <row r="10" spans="2:51" x14ac:dyDescent="0.2">
      <c r="B10" t="s">
        <v>947</v>
      </c>
      <c r="C10">
        <v>582</v>
      </c>
      <c r="D10">
        <v>451.32646048110001</v>
      </c>
      <c r="F10" t="s">
        <v>76</v>
      </c>
      <c r="G10">
        <v>3647</v>
      </c>
      <c r="H10">
        <v>1689</v>
      </c>
      <c r="I10">
        <v>209.66133806990001</v>
      </c>
      <c r="J10">
        <v>1031</v>
      </c>
      <c r="K10">
        <v>319.37633365660002</v>
      </c>
      <c r="L10">
        <v>1882</v>
      </c>
      <c r="M10">
        <v>357.98459086079998</v>
      </c>
      <c r="N10">
        <v>75</v>
      </c>
      <c r="O10">
        <v>250.48</v>
      </c>
      <c r="R10">
        <v>1</v>
      </c>
      <c r="S10">
        <v>365</v>
      </c>
      <c r="V10" t="s">
        <v>393</v>
      </c>
      <c r="W10">
        <v>8417</v>
      </c>
      <c r="X10">
        <v>6567</v>
      </c>
      <c r="Y10">
        <v>443.55763666820002</v>
      </c>
      <c r="Z10">
        <v>457</v>
      </c>
      <c r="AA10">
        <v>915.40043763680001</v>
      </c>
      <c r="AB10">
        <v>1077</v>
      </c>
      <c r="AC10">
        <v>631.11327762300004</v>
      </c>
      <c r="AD10">
        <v>497</v>
      </c>
      <c r="AE10">
        <v>571.09859154929995</v>
      </c>
      <c r="AF10">
        <v>254</v>
      </c>
      <c r="AG10">
        <v>164.8267716535</v>
      </c>
      <c r="AH10">
        <v>22</v>
      </c>
      <c r="AI10">
        <v>533.77272727269997</v>
      </c>
      <c r="AL10" t="s">
        <v>393</v>
      </c>
      <c r="AM10">
        <v>311</v>
      </c>
      <c r="AN10">
        <v>195</v>
      </c>
      <c r="AO10">
        <v>392.32820512820001</v>
      </c>
      <c r="AP10">
        <v>36</v>
      </c>
      <c r="AQ10">
        <v>570.55555555559999</v>
      </c>
      <c r="AR10">
        <v>107</v>
      </c>
      <c r="AS10">
        <v>405.29906542060002</v>
      </c>
      <c r="AT10">
        <v>9</v>
      </c>
      <c r="AU10">
        <v>198.7777777778</v>
      </c>
    </row>
    <row r="11" spans="2:51" x14ac:dyDescent="0.2">
      <c r="F11" t="s">
        <v>38</v>
      </c>
      <c r="G11">
        <v>12515</v>
      </c>
      <c r="H11">
        <v>9410</v>
      </c>
      <c r="I11">
        <v>653.15674814030001</v>
      </c>
      <c r="J11">
        <v>699</v>
      </c>
      <c r="K11">
        <v>1007.6337625179</v>
      </c>
      <c r="L11">
        <v>2339</v>
      </c>
      <c r="M11">
        <v>1122.9589568192</v>
      </c>
      <c r="N11">
        <v>752</v>
      </c>
      <c r="O11">
        <v>909.32978723400004</v>
      </c>
      <c r="R11">
        <v>14</v>
      </c>
      <c r="S11">
        <v>936.71428571429999</v>
      </c>
      <c r="V11" t="s">
        <v>394</v>
      </c>
      <c r="W11">
        <v>5037</v>
      </c>
      <c r="X11">
        <v>3273</v>
      </c>
      <c r="Y11">
        <v>363.94653223339998</v>
      </c>
      <c r="Z11">
        <v>875</v>
      </c>
      <c r="AA11">
        <v>437.04457142860002</v>
      </c>
      <c r="AB11">
        <v>898</v>
      </c>
      <c r="AC11">
        <v>453.5902004454</v>
      </c>
      <c r="AD11">
        <v>535</v>
      </c>
      <c r="AE11">
        <v>412.17383177570002</v>
      </c>
      <c r="AF11">
        <v>291</v>
      </c>
      <c r="AG11">
        <v>167.99312714780001</v>
      </c>
      <c r="AH11">
        <v>40</v>
      </c>
      <c r="AI11">
        <v>423.67500000000001</v>
      </c>
      <c r="AL11" t="s">
        <v>394</v>
      </c>
      <c r="AM11">
        <v>223</v>
      </c>
      <c r="AN11">
        <v>172</v>
      </c>
      <c r="AO11">
        <v>357.48837209300001</v>
      </c>
      <c r="AP11">
        <v>24</v>
      </c>
      <c r="AQ11">
        <v>483.5416666667</v>
      </c>
      <c r="AR11">
        <v>44</v>
      </c>
      <c r="AS11">
        <v>315.65909090909997</v>
      </c>
      <c r="AT11">
        <v>7</v>
      </c>
      <c r="AU11">
        <v>520.57142857140002</v>
      </c>
    </row>
    <row r="12" spans="2:51" x14ac:dyDescent="0.2">
      <c r="F12" t="s">
        <v>56</v>
      </c>
      <c r="G12">
        <v>3111</v>
      </c>
      <c r="H12">
        <v>2652</v>
      </c>
      <c r="I12">
        <v>337.79600301660003</v>
      </c>
      <c r="J12">
        <v>440</v>
      </c>
      <c r="K12">
        <v>347.01590909089998</v>
      </c>
      <c r="L12">
        <v>411</v>
      </c>
      <c r="M12">
        <v>318.61800486620001</v>
      </c>
      <c r="N12">
        <v>48</v>
      </c>
      <c r="O12">
        <v>139.5</v>
      </c>
      <c r="V12" t="s">
        <v>396</v>
      </c>
      <c r="W12">
        <v>6161</v>
      </c>
      <c r="X12">
        <v>5184</v>
      </c>
      <c r="Y12">
        <v>288.86091820989998</v>
      </c>
      <c r="Z12">
        <v>677</v>
      </c>
      <c r="AA12">
        <v>542.91137370750005</v>
      </c>
      <c r="AB12">
        <v>360</v>
      </c>
      <c r="AC12">
        <v>192.45277777780001</v>
      </c>
      <c r="AD12">
        <v>352</v>
      </c>
      <c r="AE12">
        <v>396.0880681818</v>
      </c>
      <c r="AF12">
        <v>254</v>
      </c>
      <c r="AG12">
        <v>186.53937007869999</v>
      </c>
      <c r="AH12">
        <v>11</v>
      </c>
      <c r="AI12">
        <v>293.09090909090003</v>
      </c>
      <c r="AL12" t="s">
        <v>396</v>
      </c>
      <c r="AM12">
        <v>217</v>
      </c>
      <c r="AN12">
        <v>176</v>
      </c>
      <c r="AO12">
        <v>338.0056818182</v>
      </c>
      <c r="AP12">
        <v>15</v>
      </c>
      <c r="AQ12">
        <v>654.13333333330002</v>
      </c>
      <c r="AR12">
        <v>38</v>
      </c>
      <c r="AS12">
        <v>266.02631578950002</v>
      </c>
      <c r="AT12">
        <v>3</v>
      </c>
      <c r="AU12">
        <v>124.3333333333</v>
      </c>
    </row>
    <row r="13" spans="2:51" x14ac:dyDescent="0.2">
      <c r="F13" t="s">
        <v>75</v>
      </c>
      <c r="G13">
        <v>5806</v>
      </c>
      <c r="H13">
        <v>5145</v>
      </c>
      <c r="I13">
        <v>283.08960155490001</v>
      </c>
      <c r="J13">
        <v>672</v>
      </c>
      <c r="K13">
        <v>543.51041666670005</v>
      </c>
      <c r="L13">
        <v>297</v>
      </c>
      <c r="M13">
        <v>114.63636363640001</v>
      </c>
      <c r="N13">
        <v>352</v>
      </c>
      <c r="O13">
        <v>396.19886363640001</v>
      </c>
      <c r="R13">
        <v>12</v>
      </c>
      <c r="S13">
        <v>294.4166666667</v>
      </c>
      <c r="V13" t="s">
        <v>399</v>
      </c>
      <c r="W13">
        <v>1054</v>
      </c>
      <c r="X13">
        <v>278</v>
      </c>
      <c r="Y13">
        <v>147.05395683450001</v>
      </c>
      <c r="Z13">
        <v>309</v>
      </c>
      <c r="AA13">
        <v>228.2686084142</v>
      </c>
      <c r="AB13">
        <v>484</v>
      </c>
      <c r="AC13">
        <v>214.48553719009999</v>
      </c>
      <c r="AD13">
        <v>162</v>
      </c>
      <c r="AE13">
        <v>212.8580246914</v>
      </c>
      <c r="AF13">
        <v>129</v>
      </c>
      <c r="AG13">
        <v>171.03875968989999</v>
      </c>
      <c r="AH13">
        <v>1</v>
      </c>
      <c r="AI13">
        <v>250</v>
      </c>
      <c r="AL13" t="s">
        <v>399</v>
      </c>
      <c r="AM13">
        <v>16</v>
      </c>
      <c r="AN13">
        <v>9</v>
      </c>
      <c r="AO13">
        <v>130.6666666667</v>
      </c>
      <c r="AP13">
        <v>3</v>
      </c>
      <c r="AQ13">
        <v>205.6666666667</v>
      </c>
      <c r="AR13">
        <v>4</v>
      </c>
      <c r="AS13">
        <v>98.75</v>
      </c>
      <c r="AT13">
        <v>3</v>
      </c>
      <c r="AU13">
        <v>105.3333333333</v>
      </c>
    </row>
    <row r="14" spans="2:51" x14ac:dyDescent="0.2">
      <c r="F14" t="s">
        <v>41</v>
      </c>
      <c r="G14">
        <v>1478</v>
      </c>
      <c r="H14">
        <v>888</v>
      </c>
      <c r="I14">
        <v>193.1644144144</v>
      </c>
      <c r="J14">
        <v>228</v>
      </c>
      <c r="K14">
        <v>385.67543859649999</v>
      </c>
      <c r="L14">
        <v>463</v>
      </c>
      <c r="M14">
        <v>301.90496760259998</v>
      </c>
      <c r="N14">
        <v>125</v>
      </c>
      <c r="O14">
        <v>310.49599999999998</v>
      </c>
      <c r="R14">
        <v>2</v>
      </c>
      <c r="S14">
        <v>173</v>
      </c>
      <c r="V14" t="s">
        <v>400</v>
      </c>
      <c r="W14">
        <v>2071</v>
      </c>
      <c r="X14">
        <v>951</v>
      </c>
      <c r="Y14">
        <v>180.66140904310001</v>
      </c>
      <c r="Z14">
        <v>610</v>
      </c>
      <c r="AA14">
        <v>214.2770491803</v>
      </c>
      <c r="AB14">
        <v>879</v>
      </c>
      <c r="AC14">
        <v>281.67690557449998</v>
      </c>
      <c r="AD14">
        <v>64</v>
      </c>
      <c r="AE14">
        <v>250.671875</v>
      </c>
      <c r="AF14">
        <v>177</v>
      </c>
      <c r="AG14">
        <v>139.72316384179999</v>
      </c>
      <c r="AL14" t="s">
        <v>400</v>
      </c>
      <c r="AM14">
        <v>29</v>
      </c>
      <c r="AN14">
        <v>21</v>
      </c>
      <c r="AO14">
        <v>96.285714285699996</v>
      </c>
      <c r="AP14">
        <v>18</v>
      </c>
      <c r="AQ14">
        <v>252.3888888889</v>
      </c>
      <c r="AR14">
        <v>5</v>
      </c>
      <c r="AS14">
        <v>124.2</v>
      </c>
      <c r="AT14">
        <v>3</v>
      </c>
      <c r="AU14">
        <v>183.3333333333</v>
      </c>
    </row>
    <row r="15" spans="2:51" x14ac:dyDescent="0.2">
      <c r="F15" t="s">
        <v>74</v>
      </c>
      <c r="G15">
        <v>231</v>
      </c>
      <c r="H15">
        <v>105</v>
      </c>
      <c r="I15">
        <v>284.28571428570001</v>
      </c>
      <c r="J15">
        <v>140</v>
      </c>
      <c r="K15">
        <v>289.40714285709998</v>
      </c>
      <c r="L15">
        <v>79</v>
      </c>
      <c r="M15">
        <v>255.582278481</v>
      </c>
      <c r="N15">
        <v>43</v>
      </c>
      <c r="O15">
        <v>203</v>
      </c>
      <c r="R15">
        <v>4</v>
      </c>
      <c r="S15">
        <v>398</v>
      </c>
      <c r="V15" t="s">
        <v>395</v>
      </c>
      <c r="W15">
        <v>3182</v>
      </c>
      <c r="X15">
        <v>2607</v>
      </c>
      <c r="Y15">
        <v>342.6520905255</v>
      </c>
      <c r="Z15">
        <v>432</v>
      </c>
      <c r="AA15">
        <v>351.7986111111</v>
      </c>
      <c r="AB15">
        <v>414</v>
      </c>
      <c r="AC15">
        <v>317.91545893720001</v>
      </c>
      <c r="AD15">
        <v>56</v>
      </c>
      <c r="AE15">
        <v>236.91071428570001</v>
      </c>
      <c r="AF15">
        <v>104</v>
      </c>
      <c r="AG15">
        <v>151.75961538460001</v>
      </c>
      <c r="AH15">
        <v>1</v>
      </c>
      <c r="AI15">
        <v>263</v>
      </c>
      <c r="AL15" t="s">
        <v>395</v>
      </c>
      <c r="AM15">
        <v>93</v>
      </c>
      <c r="AN15">
        <v>71</v>
      </c>
      <c r="AO15">
        <v>346.59154929580001</v>
      </c>
      <c r="AP15">
        <v>10</v>
      </c>
      <c r="AQ15">
        <v>512.29999999999995</v>
      </c>
      <c r="AR15">
        <v>20</v>
      </c>
      <c r="AS15">
        <v>458.65</v>
      </c>
      <c r="AT15">
        <v>2</v>
      </c>
      <c r="AU15">
        <v>330.5</v>
      </c>
    </row>
    <row r="16" spans="2:51" x14ac:dyDescent="0.2">
      <c r="F16" t="s">
        <v>48</v>
      </c>
      <c r="G16">
        <v>8049</v>
      </c>
      <c r="H16">
        <v>6347</v>
      </c>
      <c r="I16">
        <v>511.02410587679998</v>
      </c>
      <c r="J16">
        <v>375</v>
      </c>
      <c r="K16">
        <v>1067.6293333333001</v>
      </c>
      <c r="L16">
        <v>1309</v>
      </c>
      <c r="M16">
        <v>936.19098548509999</v>
      </c>
      <c r="N16">
        <v>392</v>
      </c>
      <c r="O16">
        <v>696.35459183670002</v>
      </c>
      <c r="R16">
        <v>1</v>
      </c>
      <c r="S16">
        <v>373</v>
      </c>
      <c r="V16" t="s">
        <v>418</v>
      </c>
      <c r="W16">
        <v>455</v>
      </c>
      <c r="X16">
        <v>374</v>
      </c>
      <c r="Y16">
        <v>277.06684491980002</v>
      </c>
      <c r="Z16">
        <v>43</v>
      </c>
      <c r="AA16">
        <v>585.62790697670005</v>
      </c>
      <c r="AB16">
        <v>59</v>
      </c>
      <c r="AC16">
        <v>312.62711864409999</v>
      </c>
      <c r="AD16">
        <v>9</v>
      </c>
      <c r="AE16">
        <v>419</v>
      </c>
      <c r="AF16">
        <v>13</v>
      </c>
      <c r="AG16">
        <v>209.38461538460001</v>
      </c>
      <c r="AL16" t="s">
        <v>418</v>
      </c>
      <c r="AM16">
        <v>3</v>
      </c>
      <c r="AN16">
        <v>2</v>
      </c>
      <c r="AO16">
        <v>96</v>
      </c>
      <c r="AP16">
        <v>4</v>
      </c>
      <c r="AQ16">
        <v>207</v>
      </c>
      <c r="AR16">
        <v>1</v>
      </c>
      <c r="AS16">
        <v>138</v>
      </c>
    </row>
    <row r="17" spans="6:47" x14ac:dyDescent="0.2">
      <c r="F17" t="s">
        <v>389</v>
      </c>
      <c r="G17">
        <v>51150</v>
      </c>
      <c r="H17">
        <v>38447</v>
      </c>
      <c r="I17">
        <v>445.5125757536</v>
      </c>
      <c r="J17">
        <v>5900</v>
      </c>
      <c r="K17">
        <v>562.8106779661</v>
      </c>
      <c r="L17">
        <v>9436</v>
      </c>
      <c r="M17">
        <v>639.92306061889997</v>
      </c>
      <c r="N17">
        <v>3168</v>
      </c>
      <c r="O17">
        <v>562.23106060609996</v>
      </c>
      <c r="R17">
        <v>99</v>
      </c>
      <c r="S17">
        <v>492.76767676769998</v>
      </c>
      <c r="V17" t="s">
        <v>419</v>
      </c>
      <c r="W17">
        <v>197</v>
      </c>
      <c r="X17">
        <v>58</v>
      </c>
      <c r="Y17">
        <v>253.94827586209999</v>
      </c>
      <c r="Z17">
        <v>35</v>
      </c>
      <c r="AA17">
        <v>232.31428571430001</v>
      </c>
      <c r="AB17">
        <v>48</v>
      </c>
      <c r="AC17">
        <v>325.1458333333</v>
      </c>
      <c r="AD17">
        <v>45</v>
      </c>
      <c r="AE17">
        <v>267.68888888890001</v>
      </c>
      <c r="AF17">
        <v>42</v>
      </c>
      <c r="AG17">
        <v>277.47619047619997</v>
      </c>
      <c r="AH17">
        <v>4</v>
      </c>
      <c r="AI17">
        <v>398</v>
      </c>
      <c r="AL17" t="s">
        <v>419</v>
      </c>
      <c r="AM17">
        <v>6</v>
      </c>
      <c r="AN17">
        <v>3</v>
      </c>
      <c r="AO17">
        <v>211.6666666667</v>
      </c>
      <c r="AP17">
        <v>4</v>
      </c>
      <c r="AQ17">
        <v>204.5</v>
      </c>
      <c r="AR17">
        <v>3</v>
      </c>
      <c r="AS17">
        <v>196.6666666667</v>
      </c>
    </row>
    <row r="18" spans="6:47" x14ac:dyDescent="0.2">
      <c r="F18" t="s">
        <v>68</v>
      </c>
      <c r="G18">
        <v>2946</v>
      </c>
      <c r="H18">
        <v>2428</v>
      </c>
      <c r="I18">
        <v>313.19233937400003</v>
      </c>
      <c r="J18">
        <v>392</v>
      </c>
      <c r="K18">
        <v>471.25</v>
      </c>
      <c r="L18">
        <v>348</v>
      </c>
      <c r="M18">
        <v>274.54310344829997</v>
      </c>
      <c r="N18">
        <v>166</v>
      </c>
      <c r="O18">
        <v>503.80120481929998</v>
      </c>
      <c r="R18">
        <v>4</v>
      </c>
      <c r="S18">
        <v>726.25</v>
      </c>
      <c r="V18" t="s">
        <v>389</v>
      </c>
      <c r="W18">
        <v>50130</v>
      </c>
      <c r="X18">
        <v>36695</v>
      </c>
      <c r="Y18">
        <v>446.3561248126</v>
      </c>
      <c r="Z18">
        <v>5055</v>
      </c>
      <c r="AA18">
        <v>568.72640949549998</v>
      </c>
      <c r="AB18">
        <v>8432</v>
      </c>
      <c r="AC18">
        <v>660.42753795069996</v>
      </c>
      <c r="AD18">
        <v>3128</v>
      </c>
      <c r="AE18">
        <v>561.87308184139999</v>
      </c>
      <c r="AF18">
        <v>1773</v>
      </c>
      <c r="AG18">
        <v>169.1342357586</v>
      </c>
      <c r="AH18">
        <v>102</v>
      </c>
      <c r="AI18">
        <v>492.8039215686</v>
      </c>
      <c r="AL18" t="s">
        <v>389</v>
      </c>
      <c r="AM18">
        <v>1378</v>
      </c>
      <c r="AN18">
        <v>985</v>
      </c>
      <c r="AO18">
        <v>346.22030456850001</v>
      </c>
      <c r="AP18">
        <v>198</v>
      </c>
      <c r="AQ18">
        <v>532.10101010100004</v>
      </c>
      <c r="AR18">
        <v>360</v>
      </c>
      <c r="AS18">
        <v>333.63333333330002</v>
      </c>
      <c r="AT18">
        <v>33</v>
      </c>
      <c r="AU18">
        <v>292.8181818182</v>
      </c>
    </row>
    <row r="19" spans="6:47" x14ac:dyDescent="0.2">
      <c r="F19" t="s">
        <v>34</v>
      </c>
      <c r="G19">
        <v>793</v>
      </c>
      <c r="H19">
        <v>509</v>
      </c>
      <c r="I19">
        <v>243.9273084479</v>
      </c>
      <c r="J19">
        <v>147</v>
      </c>
      <c r="K19">
        <v>351.80952380949998</v>
      </c>
      <c r="L19">
        <v>136</v>
      </c>
      <c r="M19">
        <v>206.9632352941</v>
      </c>
      <c r="N19">
        <v>144</v>
      </c>
      <c r="O19">
        <v>565.5625</v>
      </c>
      <c r="R19">
        <v>4</v>
      </c>
      <c r="S19">
        <v>319.75</v>
      </c>
      <c r="V19" t="s">
        <v>407</v>
      </c>
      <c r="W19">
        <v>869</v>
      </c>
      <c r="X19">
        <v>517</v>
      </c>
      <c r="Y19">
        <v>260.11411992260003</v>
      </c>
      <c r="Z19">
        <v>150</v>
      </c>
      <c r="AA19">
        <v>368.01333333330001</v>
      </c>
      <c r="AB19">
        <v>137</v>
      </c>
      <c r="AC19">
        <v>229.51094890510001</v>
      </c>
      <c r="AD19">
        <v>139</v>
      </c>
      <c r="AE19">
        <v>547.64028776980001</v>
      </c>
      <c r="AF19">
        <v>72</v>
      </c>
      <c r="AG19">
        <v>186.4027777778</v>
      </c>
      <c r="AH19">
        <v>4</v>
      </c>
      <c r="AI19">
        <v>319.75</v>
      </c>
      <c r="AL19" t="s">
        <v>407</v>
      </c>
      <c r="AM19">
        <v>6</v>
      </c>
      <c r="AN19">
        <v>4</v>
      </c>
      <c r="AO19">
        <v>57</v>
      </c>
      <c r="AP19">
        <v>5</v>
      </c>
      <c r="AQ19">
        <v>251.6</v>
      </c>
      <c r="AR19">
        <v>2</v>
      </c>
      <c r="AS19">
        <v>115</v>
      </c>
    </row>
    <row r="20" spans="6:47" x14ac:dyDescent="0.2">
      <c r="F20" t="s">
        <v>55</v>
      </c>
      <c r="G20">
        <v>821</v>
      </c>
      <c r="H20">
        <v>324</v>
      </c>
      <c r="I20">
        <v>254.4043209877</v>
      </c>
      <c r="J20">
        <v>378</v>
      </c>
      <c r="K20">
        <v>363.80687830689999</v>
      </c>
      <c r="L20">
        <v>205</v>
      </c>
      <c r="M20">
        <v>237.06341463410001</v>
      </c>
      <c r="N20">
        <v>291</v>
      </c>
      <c r="O20">
        <v>613.11340206190005</v>
      </c>
      <c r="R20">
        <v>1</v>
      </c>
      <c r="S20">
        <v>74</v>
      </c>
      <c r="V20" t="s">
        <v>423</v>
      </c>
      <c r="W20">
        <v>249</v>
      </c>
      <c r="X20">
        <v>112</v>
      </c>
      <c r="Y20">
        <v>203.7678571429</v>
      </c>
      <c r="Z20">
        <v>111</v>
      </c>
      <c r="AA20">
        <v>241.71171171169999</v>
      </c>
      <c r="AB20">
        <v>55</v>
      </c>
      <c r="AC20">
        <v>282.47272727270001</v>
      </c>
      <c r="AD20">
        <v>47</v>
      </c>
      <c r="AE20">
        <v>458.51063829790002</v>
      </c>
      <c r="AF20">
        <v>33</v>
      </c>
      <c r="AG20">
        <v>182.12121212119999</v>
      </c>
      <c r="AH20">
        <v>2</v>
      </c>
      <c r="AI20">
        <v>542</v>
      </c>
      <c r="AL20" t="s">
        <v>423</v>
      </c>
      <c r="AM20">
        <v>2</v>
      </c>
      <c r="AN20">
        <v>1</v>
      </c>
      <c r="AO20">
        <v>199</v>
      </c>
      <c r="AP20">
        <v>1</v>
      </c>
      <c r="AQ20">
        <v>268</v>
      </c>
      <c r="AR20">
        <v>1</v>
      </c>
      <c r="AS20">
        <v>137</v>
      </c>
    </row>
    <row r="21" spans="6:47" x14ac:dyDescent="0.2">
      <c r="F21" t="s">
        <v>62</v>
      </c>
      <c r="G21">
        <v>8270</v>
      </c>
      <c r="H21">
        <v>7100</v>
      </c>
      <c r="I21">
        <v>391.39</v>
      </c>
      <c r="J21">
        <v>699</v>
      </c>
      <c r="K21">
        <v>680.51072961370005</v>
      </c>
      <c r="L21">
        <v>863</v>
      </c>
      <c r="M21">
        <v>490.64774044030003</v>
      </c>
      <c r="N21">
        <v>301</v>
      </c>
      <c r="O21">
        <v>486.31893687709999</v>
      </c>
      <c r="R21">
        <v>6</v>
      </c>
      <c r="S21">
        <v>324</v>
      </c>
      <c r="V21" t="s">
        <v>427</v>
      </c>
      <c r="W21">
        <v>1112</v>
      </c>
      <c r="X21">
        <v>778</v>
      </c>
      <c r="Y21">
        <v>318.49871465299998</v>
      </c>
      <c r="Z21">
        <v>234</v>
      </c>
      <c r="AA21">
        <v>391.51709401710002</v>
      </c>
      <c r="AB21">
        <v>249</v>
      </c>
      <c r="AC21">
        <v>275.58232931729998</v>
      </c>
      <c r="AD21">
        <v>49</v>
      </c>
      <c r="AE21">
        <v>492.28571428570001</v>
      </c>
      <c r="AF21">
        <v>33</v>
      </c>
      <c r="AG21">
        <v>198.15151515150001</v>
      </c>
      <c r="AH21">
        <v>3</v>
      </c>
      <c r="AI21">
        <v>356</v>
      </c>
      <c r="AL21" t="s">
        <v>427</v>
      </c>
      <c r="AM21">
        <v>9</v>
      </c>
      <c r="AN21">
        <v>6</v>
      </c>
      <c r="AO21">
        <v>234.6666666667</v>
      </c>
      <c r="AP21">
        <v>7</v>
      </c>
      <c r="AQ21">
        <v>268.57142857140002</v>
      </c>
      <c r="AR21">
        <v>3</v>
      </c>
      <c r="AS21">
        <v>149</v>
      </c>
    </row>
    <row r="22" spans="6:47" x14ac:dyDescent="0.2">
      <c r="F22" t="s">
        <v>64</v>
      </c>
      <c r="G22">
        <v>6761</v>
      </c>
      <c r="H22">
        <v>5133</v>
      </c>
      <c r="I22">
        <v>424.77479057080001</v>
      </c>
      <c r="J22">
        <v>684</v>
      </c>
      <c r="K22">
        <v>639.10233918129995</v>
      </c>
      <c r="L22">
        <v>1251</v>
      </c>
      <c r="M22">
        <v>679.90167865709998</v>
      </c>
      <c r="N22">
        <v>358</v>
      </c>
      <c r="O22">
        <v>489.84636871510003</v>
      </c>
      <c r="R22">
        <v>19</v>
      </c>
      <c r="S22">
        <v>598.47368421049998</v>
      </c>
      <c r="V22" t="s">
        <v>412</v>
      </c>
      <c r="W22">
        <v>2984</v>
      </c>
      <c r="X22">
        <v>2377</v>
      </c>
      <c r="Y22">
        <v>320.4021876315</v>
      </c>
      <c r="Z22">
        <v>387</v>
      </c>
      <c r="AA22">
        <v>480.70284237729999</v>
      </c>
      <c r="AB22">
        <v>368</v>
      </c>
      <c r="AC22">
        <v>316.63043478259999</v>
      </c>
      <c r="AD22">
        <v>168</v>
      </c>
      <c r="AE22">
        <v>496.51190476189998</v>
      </c>
      <c r="AF22">
        <v>68</v>
      </c>
      <c r="AG22">
        <v>240.51470588239999</v>
      </c>
      <c r="AH22">
        <v>3</v>
      </c>
      <c r="AI22">
        <v>907</v>
      </c>
      <c r="AL22" t="s">
        <v>412</v>
      </c>
      <c r="AM22">
        <v>29</v>
      </c>
      <c r="AN22">
        <v>21</v>
      </c>
      <c r="AO22">
        <v>152.5238095238</v>
      </c>
      <c r="AP22">
        <v>14</v>
      </c>
      <c r="AQ22">
        <v>301.64285714290003</v>
      </c>
      <c r="AR22">
        <v>5</v>
      </c>
      <c r="AS22">
        <v>109</v>
      </c>
      <c r="AT22">
        <v>3</v>
      </c>
      <c r="AU22">
        <v>297.6666666667</v>
      </c>
    </row>
    <row r="23" spans="6:47" x14ac:dyDescent="0.2">
      <c r="F23" t="s">
        <v>73</v>
      </c>
      <c r="G23">
        <v>4618</v>
      </c>
      <c r="H23">
        <v>3426</v>
      </c>
      <c r="I23">
        <v>286.97197898420001</v>
      </c>
      <c r="J23">
        <v>892</v>
      </c>
      <c r="K23">
        <v>366.52914798210003</v>
      </c>
      <c r="L23">
        <v>931</v>
      </c>
      <c r="M23">
        <v>260.21160042960003</v>
      </c>
      <c r="N23">
        <v>240</v>
      </c>
      <c r="O23">
        <v>482.18333333330003</v>
      </c>
      <c r="R23">
        <v>21</v>
      </c>
      <c r="S23">
        <v>348</v>
      </c>
      <c r="V23" t="s">
        <v>408</v>
      </c>
      <c r="W23">
        <v>4744</v>
      </c>
      <c r="X23">
        <v>3384</v>
      </c>
      <c r="Y23">
        <v>396.3776595745</v>
      </c>
      <c r="Z23">
        <v>470</v>
      </c>
      <c r="AA23">
        <v>525.23191489359999</v>
      </c>
      <c r="AB23">
        <v>958</v>
      </c>
      <c r="AC23">
        <v>570.56263048020003</v>
      </c>
      <c r="AD23">
        <v>250</v>
      </c>
      <c r="AE23">
        <v>473.084</v>
      </c>
      <c r="AF23">
        <v>142</v>
      </c>
      <c r="AG23">
        <v>158.48591549299999</v>
      </c>
      <c r="AH23">
        <v>10</v>
      </c>
      <c r="AI23">
        <v>313.10000000000002</v>
      </c>
      <c r="AL23" t="s">
        <v>408</v>
      </c>
      <c r="AM23">
        <v>38</v>
      </c>
      <c r="AN23">
        <v>31</v>
      </c>
      <c r="AO23">
        <v>162.77419354840001</v>
      </c>
      <c r="AP23">
        <v>12</v>
      </c>
      <c r="AQ23">
        <v>314.4166666667</v>
      </c>
      <c r="AR23">
        <v>7</v>
      </c>
      <c r="AS23">
        <v>72.857142857100001</v>
      </c>
    </row>
    <row r="24" spans="6:47" x14ac:dyDescent="0.2">
      <c r="F24" t="s">
        <v>45</v>
      </c>
      <c r="G24">
        <v>1307</v>
      </c>
      <c r="H24">
        <v>932</v>
      </c>
      <c r="I24">
        <v>311.99248927039997</v>
      </c>
      <c r="J24">
        <v>311</v>
      </c>
      <c r="K24">
        <v>391.25723472670001</v>
      </c>
      <c r="L24">
        <v>320</v>
      </c>
      <c r="M24">
        <v>288.94375000000002</v>
      </c>
      <c r="N24">
        <v>52</v>
      </c>
      <c r="O24">
        <v>540.65384615380003</v>
      </c>
      <c r="R24">
        <v>3</v>
      </c>
      <c r="S24">
        <v>356</v>
      </c>
      <c r="V24" t="s">
        <v>425</v>
      </c>
      <c r="W24">
        <v>6971</v>
      </c>
      <c r="X24">
        <v>5139</v>
      </c>
      <c r="Y24">
        <v>425.41778556140002</v>
      </c>
      <c r="Z24">
        <v>688</v>
      </c>
      <c r="AA24">
        <v>625.98255813950004</v>
      </c>
      <c r="AB24">
        <v>1257</v>
      </c>
      <c r="AC24">
        <v>652.65234685760004</v>
      </c>
      <c r="AD24">
        <v>365</v>
      </c>
      <c r="AE24">
        <v>501.66575342469997</v>
      </c>
      <c r="AF24">
        <v>191</v>
      </c>
      <c r="AG24">
        <v>178.30890052359999</v>
      </c>
      <c r="AH24">
        <v>19</v>
      </c>
      <c r="AI24">
        <v>643.10526315790003</v>
      </c>
      <c r="AL24" t="s">
        <v>425</v>
      </c>
      <c r="AM24">
        <v>50</v>
      </c>
      <c r="AN24">
        <v>36</v>
      </c>
      <c r="AO24">
        <v>190.0833333333</v>
      </c>
      <c r="AP24">
        <v>35</v>
      </c>
      <c r="AQ24">
        <v>260.08571428570002</v>
      </c>
      <c r="AR24">
        <v>12</v>
      </c>
      <c r="AS24">
        <v>65.25</v>
      </c>
      <c r="AT24">
        <v>2</v>
      </c>
      <c r="AU24">
        <v>259</v>
      </c>
    </row>
    <row r="25" spans="6:47" x14ac:dyDescent="0.2">
      <c r="F25" t="s">
        <v>66</v>
      </c>
      <c r="G25">
        <v>4671</v>
      </c>
      <c r="H25">
        <v>3439</v>
      </c>
      <c r="I25">
        <v>402.74033149169998</v>
      </c>
      <c r="J25">
        <v>470</v>
      </c>
      <c r="K25">
        <v>526.79148936169997</v>
      </c>
      <c r="L25">
        <v>966</v>
      </c>
      <c r="M25">
        <v>582.20496894409996</v>
      </c>
      <c r="N25">
        <v>254</v>
      </c>
      <c r="O25">
        <v>515.77165354329998</v>
      </c>
      <c r="R25">
        <v>12</v>
      </c>
      <c r="S25">
        <v>322.0833333333</v>
      </c>
      <c r="V25" t="s">
        <v>406</v>
      </c>
      <c r="W25">
        <v>17994</v>
      </c>
      <c r="X25">
        <v>14533</v>
      </c>
      <c r="Y25">
        <v>333.08277712789999</v>
      </c>
      <c r="Z25">
        <v>2442</v>
      </c>
      <c r="AA25">
        <v>492.98034398030001</v>
      </c>
      <c r="AB25">
        <v>1949</v>
      </c>
      <c r="AC25">
        <v>349.33093894299998</v>
      </c>
      <c r="AD25">
        <v>759</v>
      </c>
      <c r="AE25">
        <v>408.9011857708</v>
      </c>
      <c r="AF25">
        <v>742</v>
      </c>
      <c r="AG25">
        <v>177.3396226415</v>
      </c>
      <c r="AH25">
        <v>11</v>
      </c>
      <c r="AI25">
        <v>316.45454545450002</v>
      </c>
      <c r="AL25" t="s">
        <v>406</v>
      </c>
      <c r="AM25">
        <v>259</v>
      </c>
      <c r="AN25">
        <v>185</v>
      </c>
      <c r="AO25">
        <v>143.26486486490001</v>
      </c>
      <c r="AP25">
        <v>149</v>
      </c>
      <c r="AQ25">
        <v>271.53691275170002</v>
      </c>
      <c r="AR25">
        <v>62</v>
      </c>
      <c r="AS25">
        <v>131.22580645159999</v>
      </c>
      <c r="AT25">
        <v>12</v>
      </c>
      <c r="AU25">
        <v>186.1666666667</v>
      </c>
    </row>
    <row r="26" spans="6:47" x14ac:dyDescent="0.2">
      <c r="F26" t="s">
        <v>32</v>
      </c>
      <c r="G26">
        <v>176</v>
      </c>
      <c r="H26">
        <v>88</v>
      </c>
      <c r="I26">
        <v>180.23863636359999</v>
      </c>
      <c r="J26">
        <v>135</v>
      </c>
      <c r="K26">
        <v>296.00740740740002</v>
      </c>
      <c r="L26">
        <v>39</v>
      </c>
      <c r="M26">
        <v>140.79487179489999</v>
      </c>
      <c r="N26">
        <v>47</v>
      </c>
      <c r="O26">
        <v>478.89361702129997</v>
      </c>
      <c r="R26">
        <v>2</v>
      </c>
      <c r="S26">
        <v>542</v>
      </c>
      <c r="V26" t="s">
        <v>404</v>
      </c>
      <c r="W26">
        <v>1640</v>
      </c>
      <c r="X26">
        <v>1212</v>
      </c>
      <c r="Y26">
        <v>301.70709570960003</v>
      </c>
      <c r="Z26">
        <v>333</v>
      </c>
      <c r="AA26">
        <v>363.47747747749997</v>
      </c>
      <c r="AB26">
        <v>307</v>
      </c>
      <c r="AC26">
        <v>273.9804560261</v>
      </c>
      <c r="AD26">
        <v>56</v>
      </c>
      <c r="AE26">
        <v>294.75</v>
      </c>
      <c r="AF26">
        <v>63</v>
      </c>
      <c r="AG26">
        <v>187.06349206350001</v>
      </c>
      <c r="AH26">
        <v>2</v>
      </c>
      <c r="AI26">
        <v>314</v>
      </c>
      <c r="AL26" t="s">
        <v>404</v>
      </c>
      <c r="AM26">
        <v>15</v>
      </c>
      <c r="AN26">
        <v>11</v>
      </c>
      <c r="AO26">
        <v>99.272727272699996</v>
      </c>
      <c r="AP26">
        <v>9</v>
      </c>
      <c r="AQ26">
        <v>225.1111111111</v>
      </c>
      <c r="AR26">
        <v>4</v>
      </c>
      <c r="AS26">
        <v>69.25</v>
      </c>
    </row>
    <row r="27" spans="6:47" x14ac:dyDescent="0.2">
      <c r="F27" t="s">
        <v>71</v>
      </c>
      <c r="G27">
        <v>3779</v>
      </c>
      <c r="H27">
        <v>3481</v>
      </c>
      <c r="I27">
        <v>235.4021832807</v>
      </c>
      <c r="J27">
        <v>944</v>
      </c>
      <c r="K27">
        <v>389.84533898310002</v>
      </c>
      <c r="L27">
        <v>149</v>
      </c>
      <c r="M27">
        <v>83.946308724800005</v>
      </c>
      <c r="N27">
        <v>146</v>
      </c>
      <c r="O27">
        <v>234.03424657529999</v>
      </c>
      <c r="R27">
        <v>3</v>
      </c>
      <c r="S27">
        <v>212</v>
      </c>
      <c r="V27" t="s">
        <v>80</v>
      </c>
      <c r="W27">
        <v>4871</v>
      </c>
      <c r="X27">
        <v>3493</v>
      </c>
      <c r="Y27">
        <v>293.63498425419999</v>
      </c>
      <c r="Z27">
        <v>900</v>
      </c>
      <c r="AA27">
        <v>377.43222222219998</v>
      </c>
      <c r="AB27">
        <v>950</v>
      </c>
      <c r="AC27">
        <v>272.8252631579</v>
      </c>
      <c r="AD27">
        <v>245</v>
      </c>
      <c r="AE27">
        <v>511.80408163269999</v>
      </c>
      <c r="AF27">
        <v>163</v>
      </c>
      <c r="AG27">
        <v>159.3742331288</v>
      </c>
      <c r="AH27">
        <v>20</v>
      </c>
      <c r="AI27">
        <v>317.7</v>
      </c>
      <c r="AL27" t="s">
        <v>80</v>
      </c>
      <c r="AM27">
        <v>53</v>
      </c>
      <c r="AN27">
        <v>40</v>
      </c>
      <c r="AO27">
        <v>134.69999999999999</v>
      </c>
      <c r="AP27">
        <v>33</v>
      </c>
      <c r="AQ27">
        <v>279.15151515150001</v>
      </c>
      <c r="AR27">
        <v>10</v>
      </c>
      <c r="AS27">
        <v>91.7</v>
      </c>
      <c r="AT27">
        <v>3</v>
      </c>
      <c r="AU27">
        <v>176</v>
      </c>
    </row>
    <row r="28" spans="6:47" x14ac:dyDescent="0.2">
      <c r="F28" t="s">
        <v>31</v>
      </c>
      <c r="G28">
        <v>1474</v>
      </c>
      <c r="H28">
        <v>1156</v>
      </c>
      <c r="I28">
        <v>292.59429065739999</v>
      </c>
      <c r="J28">
        <v>395</v>
      </c>
      <c r="K28">
        <v>382.60253164559998</v>
      </c>
      <c r="L28">
        <v>273</v>
      </c>
      <c r="M28">
        <v>231.7655677656</v>
      </c>
      <c r="N28">
        <v>43</v>
      </c>
      <c r="O28">
        <v>216.79069767440001</v>
      </c>
      <c r="R28">
        <v>2</v>
      </c>
      <c r="S28">
        <v>314</v>
      </c>
      <c r="V28" t="s">
        <v>403</v>
      </c>
      <c r="W28">
        <v>41434</v>
      </c>
      <c r="X28">
        <v>31545</v>
      </c>
      <c r="Y28">
        <v>346.37124742430001</v>
      </c>
      <c r="Z28">
        <v>5715</v>
      </c>
      <c r="AA28">
        <v>472.75573053369999</v>
      </c>
      <c r="AB28">
        <v>6230</v>
      </c>
      <c r="AC28">
        <v>421.06645264849999</v>
      </c>
      <c r="AD28">
        <v>2078</v>
      </c>
      <c r="AE28">
        <v>461.42492781520002</v>
      </c>
      <c r="AF28">
        <v>1507</v>
      </c>
      <c r="AG28">
        <v>177.99336429990001</v>
      </c>
      <c r="AH28">
        <v>74</v>
      </c>
      <c r="AI28">
        <v>431.95945945950001</v>
      </c>
      <c r="AL28" t="s">
        <v>403</v>
      </c>
      <c r="AM28">
        <v>461</v>
      </c>
      <c r="AN28">
        <v>335</v>
      </c>
      <c r="AO28">
        <v>148.98805970149999</v>
      </c>
      <c r="AP28">
        <v>265</v>
      </c>
      <c r="AQ28">
        <v>272.46037735850001</v>
      </c>
      <c r="AR28">
        <v>106</v>
      </c>
      <c r="AS28">
        <v>113.0377358491</v>
      </c>
      <c r="AT28">
        <v>20</v>
      </c>
      <c r="AU28">
        <v>208.65</v>
      </c>
    </row>
    <row r="29" spans="6:47" x14ac:dyDescent="0.2">
      <c r="F29" t="s">
        <v>52</v>
      </c>
      <c r="G29">
        <v>4910</v>
      </c>
      <c r="H29">
        <v>3793</v>
      </c>
      <c r="I29">
        <v>307.92617980490002</v>
      </c>
      <c r="J29">
        <v>774</v>
      </c>
      <c r="K29">
        <v>447.35917312660001</v>
      </c>
      <c r="L29">
        <v>851</v>
      </c>
      <c r="M29">
        <v>229.875440658</v>
      </c>
      <c r="N29">
        <v>265</v>
      </c>
      <c r="O29">
        <v>392.8</v>
      </c>
      <c r="R29">
        <v>1</v>
      </c>
      <c r="S29">
        <v>197</v>
      </c>
      <c r="V29" t="s">
        <v>387</v>
      </c>
      <c r="W29">
        <v>9913</v>
      </c>
      <c r="X29">
        <v>4646</v>
      </c>
      <c r="Y29">
        <v>260.5147470398</v>
      </c>
      <c r="Z29">
        <v>770</v>
      </c>
      <c r="AA29">
        <v>558.07142857140002</v>
      </c>
      <c r="AB29">
        <v>3606</v>
      </c>
      <c r="AC29">
        <v>574.34193011649995</v>
      </c>
      <c r="AD29">
        <v>1115</v>
      </c>
      <c r="AE29">
        <v>455.78725314180002</v>
      </c>
      <c r="AF29">
        <v>534</v>
      </c>
      <c r="AG29">
        <v>178.37265917600001</v>
      </c>
      <c r="AH29">
        <v>12</v>
      </c>
      <c r="AI29">
        <v>515.91666666670005</v>
      </c>
      <c r="AL29" t="s">
        <v>387</v>
      </c>
      <c r="AM29">
        <v>250</v>
      </c>
      <c r="AN29">
        <v>177</v>
      </c>
      <c r="AO29">
        <v>372.24858757060002</v>
      </c>
      <c r="AP29">
        <v>23</v>
      </c>
      <c r="AQ29">
        <v>482.13043478259999</v>
      </c>
      <c r="AR29">
        <v>62</v>
      </c>
      <c r="AS29">
        <v>339.1451612903</v>
      </c>
      <c r="AT29">
        <v>11</v>
      </c>
      <c r="AU29">
        <v>326.90909090909997</v>
      </c>
    </row>
    <row r="30" spans="6:47" x14ac:dyDescent="0.2">
      <c r="F30" t="s">
        <v>403</v>
      </c>
      <c r="G30">
        <v>40526</v>
      </c>
      <c r="H30">
        <v>31809</v>
      </c>
      <c r="I30">
        <v>343.5103587035</v>
      </c>
      <c r="J30">
        <v>6221</v>
      </c>
      <c r="K30">
        <v>464.29255746659999</v>
      </c>
      <c r="L30">
        <v>6332</v>
      </c>
      <c r="M30">
        <v>413.81806696149999</v>
      </c>
      <c r="N30">
        <v>2307</v>
      </c>
      <c r="O30">
        <v>481.21803207630001</v>
      </c>
      <c r="R30">
        <v>78</v>
      </c>
      <c r="S30">
        <v>414.858974359</v>
      </c>
      <c r="V30" t="s">
        <v>424</v>
      </c>
      <c r="W30">
        <v>31340</v>
      </c>
      <c r="X30">
        <v>26625</v>
      </c>
      <c r="Y30">
        <v>465.4735379183</v>
      </c>
      <c r="Z30">
        <v>2706</v>
      </c>
      <c r="AA30">
        <v>709.05062823360004</v>
      </c>
      <c r="AB30">
        <v>1219</v>
      </c>
      <c r="AC30">
        <v>253.89417555369999</v>
      </c>
      <c r="AD30">
        <v>2338</v>
      </c>
      <c r="AE30">
        <v>349.31736526949999</v>
      </c>
      <c r="AF30">
        <v>1112</v>
      </c>
      <c r="AG30">
        <v>163.92535971219999</v>
      </c>
      <c r="AH30">
        <v>46</v>
      </c>
      <c r="AI30">
        <v>306.73913043480002</v>
      </c>
      <c r="AL30" t="s">
        <v>424</v>
      </c>
      <c r="AM30">
        <v>350</v>
      </c>
      <c r="AN30">
        <v>241</v>
      </c>
      <c r="AO30">
        <v>219.5809128631</v>
      </c>
      <c r="AP30">
        <v>136</v>
      </c>
      <c r="AQ30">
        <v>441.6985294118</v>
      </c>
      <c r="AR30">
        <v>99</v>
      </c>
      <c r="AS30">
        <v>127.85858585859999</v>
      </c>
      <c r="AT30">
        <v>10</v>
      </c>
      <c r="AU30">
        <v>261.5</v>
      </c>
    </row>
    <row r="31" spans="6:47" x14ac:dyDescent="0.2">
      <c r="F31" t="s">
        <v>25</v>
      </c>
      <c r="G31">
        <v>18083</v>
      </c>
      <c r="H31">
        <v>16048</v>
      </c>
      <c r="I31">
        <v>531.96784646059996</v>
      </c>
      <c r="J31">
        <v>1180</v>
      </c>
      <c r="K31">
        <v>803.9415254237</v>
      </c>
      <c r="L31">
        <v>1092</v>
      </c>
      <c r="M31">
        <v>303.70970695969999</v>
      </c>
      <c r="N31">
        <v>907</v>
      </c>
      <c r="O31">
        <v>357.7544247788</v>
      </c>
      <c r="R31">
        <v>36</v>
      </c>
      <c r="S31">
        <v>394.2777777778</v>
      </c>
      <c r="V31" t="s">
        <v>380</v>
      </c>
      <c r="W31">
        <v>18958</v>
      </c>
      <c r="X31">
        <v>16190</v>
      </c>
      <c r="Y31">
        <v>529.97702285360003</v>
      </c>
      <c r="Z31">
        <v>1447</v>
      </c>
      <c r="AA31">
        <v>773.68555632339996</v>
      </c>
      <c r="AB31">
        <v>1261</v>
      </c>
      <c r="AC31">
        <v>324.3061062649</v>
      </c>
      <c r="AD31">
        <v>959</v>
      </c>
      <c r="AE31">
        <v>355.23640167360003</v>
      </c>
      <c r="AF31">
        <v>513</v>
      </c>
      <c r="AG31">
        <v>169.162109375</v>
      </c>
      <c r="AH31">
        <v>35</v>
      </c>
      <c r="AI31">
        <v>381.6</v>
      </c>
      <c r="AL31" t="s">
        <v>380</v>
      </c>
      <c r="AM31">
        <v>217</v>
      </c>
      <c r="AN31">
        <v>138</v>
      </c>
      <c r="AO31">
        <v>222.3985507246</v>
      </c>
      <c r="AP31">
        <v>80</v>
      </c>
      <c r="AQ31">
        <v>432.47500000000002</v>
      </c>
      <c r="AR31">
        <v>60</v>
      </c>
      <c r="AS31">
        <v>175.63333333329999</v>
      </c>
      <c r="AT31">
        <v>19</v>
      </c>
      <c r="AU31">
        <v>375.15789473680002</v>
      </c>
    </row>
    <row r="32" spans="6:47" x14ac:dyDescent="0.2">
      <c r="F32" t="s">
        <v>39</v>
      </c>
      <c r="G32">
        <v>13049</v>
      </c>
      <c r="H32">
        <v>10523</v>
      </c>
      <c r="I32">
        <v>416.86494962929999</v>
      </c>
      <c r="J32">
        <v>608</v>
      </c>
      <c r="K32">
        <v>723.29440789470004</v>
      </c>
      <c r="L32">
        <v>1635</v>
      </c>
      <c r="M32">
        <v>469.37492354739999</v>
      </c>
      <c r="N32">
        <v>854</v>
      </c>
      <c r="O32">
        <v>552.09133489459998</v>
      </c>
      <c r="R32">
        <v>37</v>
      </c>
      <c r="S32">
        <v>385.67567567570001</v>
      </c>
      <c r="V32" t="s">
        <v>392</v>
      </c>
      <c r="W32">
        <v>3194</v>
      </c>
      <c r="X32">
        <v>2003</v>
      </c>
      <c r="Y32">
        <v>392.5636545182</v>
      </c>
      <c r="Z32">
        <v>495</v>
      </c>
      <c r="AA32">
        <v>505.50707070710001</v>
      </c>
      <c r="AB32">
        <v>590</v>
      </c>
      <c r="AC32">
        <v>466.83220338979999</v>
      </c>
      <c r="AD32">
        <v>472</v>
      </c>
      <c r="AE32">
        <v>664.38347457630005</v>
      </c>
      <c r="AF32">
        <v>121</v>
      </c>
      <c r="AG32">
        <v>185.57851239670001</v>
      </c>
      <c r="AH32">
        <v>8</v>
      </c>
      <c r="AI32">
        <v>496.25</v>
      </c>
      <c r="AL32" t="s">
        <v>392</v>
      </c>
      <c r="AM32">
        <v>102</v>
      </c>
      <c r="AN32">
        <v>68</v>
      </c>
      <c r="AO32">
        <v>370.4117647059</v>
      </c>
      <c r="AP32">
        <v>16</v>
      </c>
      <c r="AQ32">
        <v>683.875</v>
      </c>
      <c r="AR32">
        <v>32</v>
      </c>
      <c r="AS32">
        <v>274.125</v>
      </c>
      <c r="AT32">
        <v>2</v>
      </c>
      <c r="AU32">
        <v>142</v>
      </c>
    </row>
    <row r="33" spans="6:49" x14ac:dyDescent="0.2">
      <c r="F33" t="s">
        <v>72</v>
      </c>
      <c r="G33">
        <v>5011</v>
      </c>
      <c r="H33">
        <v>2394</v>
      </c>
      <c r="I33">
        <v>342.28458002510001</v>
      </c>
      <c r="J33">
        <v>592</v>
      </c>
      <c r="K33">
        <v>527.35979729730002</v>
      </c>
      <c r="L33">
        <v>1786</v>
      </c>
      <c r="M33">
        <v>637.27939529679998</v>
      </c>
      <c r="N33">
        <v>822</v>
      </c>
      <c r="O33">
        <v>736.39781021900001</v>
      </c>
      <c r="R33">
        <v>9</v>
      </c>
      <c r="S33">
        <v>587.33333333329995</v>
      </c>
      <c r="V33" t="s">
        <v>383</v>
      </c>
      <c r="W33">
        <v>7298</v>
      </c>
      <c r="X33">
        <v>4736</v>
      </c>
      <c r="Y33">
        <v>284.64885979730002</v>
      </c>
      <c r="Z33">
        <v>620</v>
      </c>
      <c r="AA33">
        <v>504.64838709679998</v>
      </c>
      <c r="AB33">
        <v>1524</v>
      </c>
      <c r="AC33">
        <v>325.81299212599998</v>
      </c>
      <c r="AD33">
        <v>674</v>
      </c>
      <c r="AE33">
        <v>428.17952522259998</v>
      </c>
      <c r="AF33">
        <v>357</v>
      </c>
      <c r="AG33">
        <v>197.03361344539999</v>
      </c>
      <c r="AH33">
        <v>7</v>
      </c>
      <c r="AI33">
        <v>419.71428571429999</v>
      </c>
      <c r="AL33" t="s">
        <v>383</v>
      </c>
      <c r="AM33">
        <v>237</v>
      </c>
      <c r="AN33">
        <v>173</v>
      </c>
      <c r="AO33">
        <v>332.57225433529999</v>
      </c>
      <c r="AP33">
        <v>22</v>
      </c>
      <c r="AQ33">
        <v>516.27272727269997</v>
      </c>
      <c r="AR33">
        <v>60</v>
      </c>
      <c r="AS33">
        <v>299.55</v>
      </c>
      <c r="AT33">
        <v>3</v>
      </c>
      <c r="AU33">
        <v>570</v>
      </c>
      <c r="AV33">
        <v>1</v>
      </c>
      <c r="AW33">
        <v>1</v>
      </c>
    </row>
    <row r="34" spans="6:49" x14ac:dyDescent="0.2">
      <c r="F34" t="s">
        <v>58</v>
      </c>
      <c r="G34">
        <v>6790</v>
      </c>
      <c r="H34">
        <v>4634</v>
      </c>
      <c r="I34">
        <v>272.49784203709999</v>
      </c>
      <c r="J34">
        <v>598</v>
      </c>
      <c r="K34">
        <v>494.89632107019997</v>
      </c>
      <c r="L34">
        <v>1477</v>
      </c>
      <c r="M34">
        <v>303.09546377790002</v>
      </c>
      <c r="N34">
        <v>671</v>
      </c>
      <c r="O34">
        <v>429.5707898659</v>
      </c>
      <c r="R34">
        <v>8</v>
      </c>
      <c r="S34">
        <v>370.125</v>
      </c>
      <c r="V34" t="s">
        <v>426</v>
      </c>
      <c r="W34">
        <v>5281</v>
      </c>
      <c r="X34">
        <v>2442</v>
      </c>
      <c r="Y34">
        <v>334.35927898400001</v>
      </c>
      <c r="Z34">
        <v>568</v>
      </c>
      <c r="AA34">
        <v>514.3063380282</v>
      </c>
      <c r="AB34">
        <v>1752</v>
      </c>
      <c r="AC34">
        <v>634.50570776259997</v>
      </c>
      <c r="AD34">
        <v>800</v>
      </c>
      <c r="AE34">
        <v>729.16499999999996</v>
      </c>
      <c r="AF34">
        <v>279</v>
      </c>
      <c r="AG34">
        <v>184.36200716850001</v>
      </c>
      <c r="AH34">
        <v>8</v>
      </c>
      <c r="AI34">
        <v>593.125</v>
      </c>
      <c r="AL34" t="s">
        <v>426</v>
      </c>
      <c r="AM34">
        <v>82</v>
      </c>
      <c r="AN34">
        <v>46</v>
      </c>
      <c r="AO34">
        <v>212.0652173913</v>
      </c>
      <c r="AP34">
        <v>19</v>
      </c>
      <c r="AQ34">
        <v>337.15789473680002</v>
      </c>
      <c r="AR34">
        <v>28</v>
      </c>
      <c r="AS34">
        <v>142.57142857139999</v>
      </c>
      <c r="AT34">
        <v>8</v>
      </c>
      <c r="AU34">
        <v>176.75</v>
      </c>
    </row>
    <row r="35" spans="6:49" x14ac:dyDescent="0.2">
      <c r="F35" t="s">
        <v>53</v>
      </c>
      <c r="G35">
        <v>2949</v>
      </c>
      <c r="H35">
        <v>1904</v>
      </c>
      <c r="I35">
        <v>386.30672268910001</v>
      </c>
      <c r="J35">
        <v>484</v>
      </c>
      <c r="K35">
        <v>498.65289256199998</v>
      </c>
      <c r="L35">
        <v>569</v>
      </c>
      <c r="M35">
        <v>449.28998242530002</v>
      </c>
      <c r="N35">
        <v>469</v>
      </c>
      <c r="O35">
        <v>647.88059701489999</v>
      </c>
      <c r="R35">
        <v>7</v>
      </c>
      <c r="S35">
        <v>534.42857142859998</v>
      </c>
      <c r="V35" t="s">
        <v>382</v>
      </c>
      <c r="W35">
        <v>13365</v>
      </c>
      <c r="X35">
        <v>10396</v>
      </c>
      <c r="Y35">
        <v>418.187012987</v>
      </c>
      <c r="Z35">
        <v>615</v>
      </c>
      <c r="AA35">
        <v>720.52357723579996</v>
      </c>
      <c r="AB35">
        <v>1688</v>
      </c>
      <c r="AC35">
        <v>470.42890995260001</v>
      </c>
      <c r="AD35">
        <v>846</v>
      </c>
      <c r="AE35">
        <v>544.27423167849997</v>
      </c>
      <c r="AF35">
        <v>399</v>
      </c>
      <c r="AG35">
        <v>162.3308270677</v>
      </c>
      <c r="AH35">
        <v>36</v>
      </c>
      <c r="AI35">
        <v>390.0277777778</v>
      </c>
      <c r="AL35" t="s">
        <v>382</v>
      </c>
      <c r="AM35">
        <v>135</v>
      </c>
      <c r="AN35">
        <v>94</v>
      </c>
      <c r="AO35">
        <v>211.14893617019999</v>
      </c>
      <c r="AP35">
        <v>42</v>
      </c>
      <c r="AQ35">
        <v>352.78571428570001</v>
      </c>
      <c r="AR35">
        <v>33</v>
      </c>
      <c r="AS35">
        <v>210.12121212119999</v>
      </c>
      <c r="AT35">
        <v>8</v>
      </c>
      <c r="AU35">
        <v>264.625</v>
      </c>
    </row>
    <row r="36" spans="6:49" x14ac:dyDescent="0.2">
      <c r="F36" t="s">
        <v>57</v>
      </c>
      <c r="G36">
        <v>9361</v>
      </c>
      <c r="H36">
        <v>4548</v>
      </c>
      <c r="I36">
        <v>245.64152188259999</v>
      </c>
      <c r="J36">
        <v>774</v>
      </c>
      <c r="K36">
        <v>557.86692506459997</v>
      </c>
      <c r="L36">
        <v>3669</v>
      </c>
      <c r="M36">
        <v>573.55900790409999</v>
      </c>
      <c r="N36">
        <v>1133</v>
      </c>
      <c r="O36">
        <v>448.88250883389998</v>
      </c>
      <c r="R36">
        <v>11</v>
      </c>
      <c r="S36">
        <v>560.72727272730003</v>
      </c>
      <c r="V36" t="s">
        <v>379</v>
      </c>
      <c r="W36">
        <v>89349</v>
      </c>
      <c r="X36">
        <v>67038</v>
      </c>
      <c r="Y36">
        <v>439.78858174330003</v>
      </c>
      <c r="Z36">
        <v>7221</v>
      </c>
      <c r="AA36">
        <v>660.05885611409997</v>
      </c>
      <c r="AB36">
        <v>11640</v>
      </c>
      <c r="AC36">
        <v>469.6934707904</v>
      </c>
      <c r="AD36">
        <v>7204</v>
      </c>
      <c r="AE36">
        <v>459.72597222220003</v>
      </c>
      <c r="AF36">
        <v>3315</v>
      </c>
      <c r="AG36">
        <v>172.948098974</v>
      </c>
      <c r="AH36">
        <v>152</v>
      </c>
      <c r="AI36">
        <v>390.46710526319998</v>
      </c>
      <c r="AL36" t="s">
        <v>379</v>
      </c>
      <c r="AM36">
        <v>1373</v>
      </c>
      <c r="AN36">
        <v>937</v>
      </c>
      <c r="AO36">
        <v>279.42796157949999</v>
      </c>
      <c r="AP36">
        <v>338</v>
      </c>
      <c r="AQ36">
        <v>441.65976331360002</v>
      </c>
      <c r="AR36">
        <v>374</v>
      </c>
      <c r="AS36">
        <v>218.9679144385</v>
      </c>
      <c r="AT36">
        <v>61</v>
      </c>
      <c r="AU36">
        <v>309.24590163929997</v>
      </c>
      <c r="AV36">
        <v>1</v>
      </c>
      <c r="AW36">
        <v>1</v>
      </c>
    </row>
    <row r="37" spans="6:49" x14ac:dyDescent="0.2">
      <c r="F37" t="s">
        <v>77</v>
      </c>
      <c r="G37">
        <v>29606</v>
      </c>
      <c r="H37">
        <v>26356</v>
      </c>
      <c r="I37">
        <v>464.69795856420001</v>
      </c>
      <c r="J37">
        <v>2142</v>
      </c>
      <c r="K37">
        <v>752.1946778711</v>
      </c>
      <c r="L37">
        <v>915</v>
      </c>
      <c r="M37">
        <v>165.1617486339</v>
      </c>
      <c r="N37">
        <v>2291</v>
      </c>
      <c r="O37">
        <v>332.24574421649999</v>
      </c>
      <c r="R37">
        <v>44</v>
      </c>
      <c r="S37">
        <v>289.0681818182</v>
      </c>
      <c r="V37" t="s">
        <v>405</v>
      </c>
      <c r="W37">
        <v>552</v>
      </c>
      <c r="X37">
        <v>263</v>
      </c>
      <c r="Y37">
        <v>142.8288973384</v>
      </c>
      <c r="Z37">
        <v>265</v>
      </c>
      <c r="AA37">
        <v>228.2150943396</v>
      </c>
      <c r="AB37">
        <v>129</v>
      </c>
      <c r="AC37">
        <v>191.9534883721</v>
      </c>
      <c r="AD37">
        <v>91</v>
      </c>
      <c r="AE37">
        <v>242.1538461538</v>
      </c>
      <c r="AF37">
        <v>58</v>
      </c>
      <c r="AG37">
        <v>191.43103448279999</v>
      </c>
      <c r="AH37">
        <v>11</v>
      </c>
      <c r="AI37">
        <v>302.27272727270002</v>
      </c>
      <c r="AL37" t="s">
        <v>405</v>
      </c>
      <c r="AM37">
        <v>16</v>
      </c>
      <c r="AN37">
        <v>14</v>
      </c>
      <c r="AO37">
        <v>99.785714285699996</v>
      </c>
      <c r="AP37">
        <v>8</v>
      </c>
      <c r="AQ37">
        <v>214.375</v>
      </c>
      <c r="AR37">
        <v>1</v>
      </c>
      <c r="AS37">
        <v>107</v>
      </c>
      <c r="AT37">
        <v>1</v>
      </c>
      <c r="AU37">
        <v>229</v>
      </c>
    </row>
    <row r="38" spans="6:49" x14ac:dyDescent="0.2">
      <c r="F38" t="s">
        <v>379</v>
      </c>
      <c r="G38">
        <v>84849</v>
      </c>
      <c r="H38">
        <v>66407</v>
      </c>
      <c r="I38">
        <v>438.30343965539998</v>
      </c>
      <c r="J38">
        <v>6378</v>
      </c>
      <c r="K38">
        <v>671.19739730319998</v>
      </c>
      <c r="L38">
        <v>11143</v>
      </c>
      <c r="M38">
        <v>466.30970115769998</v>
      </c>
      <c r="N38">
        <v>7147</v>
      </c>
      <c r="O38">
        <v>456.6180876382</v>
      </c>
      <c r="R38">
        <v>152</v>
      </c>
      <c r="S38">
        <v>390.38815789469999</v>
      </c>
      <c r="V38" t="s">
        <v>409</v>
      </c>
      <c r="W38">
        <v>41940</v>
      </c>
      <c r="X38">
        <v>29861</v>
      </c>
      <c r="Y38">
        <v>465.57034258729999</v>
      </c>
      <c r="Z38">
        <v>3266</v>
      </c>
      <c r="AA38">
        <v>678.42008573179999</v>
      </c>
      <c r="AB38">
        <v>8744</v>
      </c>
      <c r="AC38">
        <v>680.73673376030001</v>
      </c>
      <c r="AD38">
        <v>2017</v>
      </c>
      <c r="AE38">
        <v>526.60813492060004</v>
      </c>
      <c r="AF38">
        <v>1266</v>
      </c>
      <c r="AG38">
        <v>188.20379146920001</v>
      </c>
      <c r="AH38">
        <v>52</v>
      </c>
      <c r="AI38">
        <v>568.55769230769999</v>
      </c>
      <c r="AL38" t="s">
        <v>409</v>
      </c>
      <c r="AM38">
        <v>281</v>
      </c>
      <c r="AN38">
        <v>195</v>
      </c>
      <c r="AO38">
        <v>236.32820512820001</v>
      </c>
      <c r="AP38">
        <v>151</v>
      </c>
      <c r="AQ38">
        <v>323.54304635760002</v>
      </c>
      <c r="AR38">
        <v>78</v>
      </c>
      <c r="AS38">
        <v>228.75641025639999</v>
      </c>
      <c r="AT38">
        <v>8</v>
      </c>
      <c r="AU38">
        <v>214.75</v>
      </c>
    </row>
    <row r="39" spans="6:49" x14ac:dyDescent="0.2">
      <c r="F39" t="s">
        <v>79</v>
      </c>
      <c r="G39">
        <v>20239</v>
      </c>
      <c r="H39">
        <v>15716</v>
      </c>
      <c r="I39">
        <v>410.68471621280003</v>
      </c>
      <c r="J39">
        <v>1307</v>
      </c>
      <c r="K39">
        <v>778.15378729919996</v>
      </c>
      <c r="L39">
        <v>3693</v>
      </c>
      <c r="M39">
        <v>666.09125372330004</v>
      </c>
      <c r="N39">
        <v>804</v>
      </c>
      <c r="O39">
        <v>392.97014925370001</v>
      </c>
      <c r="R39">
        <v>26</v>
      </c>
      <c r="S39">
        <v>459.15384615379998</v>
      </c>
      <c r="V39" t="s">
        <v>417</v>
      </c>
      <c r="W39">
        <v>329</v>
      </c>
      <c r="X39">
        <v>168</v>
      </c>
      <c r="Y39">
        <v>202.9166666667</v>
      </c>
      <c r="Z39">
        <v>155</v>
      </c>
      <c r="AA39">
        <v>212.03225806450001</v>
      </c>
      <c r="AB39">
        <v>92</v>
      </c>
      <c r="AC39">
        <v>264</v>
      </c>
      <c r="AD39">
        <v>46</v>
      </c>
      <c r="AE39">
        <v>363.26086956519998</v>
      </c>
      <c r="AF39">
        <v>21</v>
      </c>
      <c r="AG39">
        <v>312.80952380949998</v>
      </c>
      <c r="AH39">
        <v>2</v>
      </c>
      <c r="AI39">
        <v>480</v>
      </c>
      <c r="AL39" t="s">
        <v>417</v>
      </c>
      <c r="AM39">
        <v>4</v>
      </c>
      <c r="AN39">
        <v>3</v>
      </c>
      <c r="AO39">
        <v>90.666666666699996</v>
      </c>
      <c r="AP39">
        <v>1</v>
      </c>
      <c r="AQ39">
        <v>319</v>
      </c>
      <c r="AR39">
        <v>1</v>
      </c>
      <c r="AS39">
        <v>102</v>
      </c>
    </row>
    <row r="40" spans="6:49" x14ac:dyDescent="0.2">
      <c r="F40" t="s">
        <v>40</v>
      </c>
      <c r="G40">
        <v>6395</v>
      </c>
      <c r="H40">
        <v>3876</v>
      </c>
      <c r="I40">
        <v>289.30598555210003</v>
      </c>
      <c r="J40">
        <v>327</v>
      </c>
      <c r="K40">
        <v>505.2048929664</v>
      </c>
      <c r="L40">
        <v>2126</v>
      </c>
      <c r="M40">
        <v>799.95954844779999</v>
      </c>
      <c r="N40">
        <v>378</v>
      </c>
      <c r="O40">
        <v>370.23809523810002</v>
      </c>
      <c r="R40">
        <v>15</v>
      </c>
      <c r="S40">
        <v>418.4</v>
      </c>
      <c r="V40" t="s">
        <v>420</v>
      </c>
      <c r="W40">
        <v>201</v>
      </c>
      <c r="X40">
        <v>86</v>
      </c>
      <c r="Y40">
        <v>278.36046511630002</v>
      </c>
      <c r="Z40">
        <v>63</v>
      </c>
      <c r="AA40">
        <v>288.92063492059998</v>
      </c>
      <c r="AB40">
        <v>71</v>
      </c>
      <c r="AC40">
        <v>325.38028169009999</v>
      </c>
      <c r="AD40">
        <v>18</v>
      </c>
      <c r="AE40">
        <v>329.3888888889</v>
      </c>
      <c r="AF40">
        <v>24</v>
      </c>
      <c r="AG40">
        <v>173.6666666667</v>
      </c>
      <c r="AH40">
        <v>2</v>
      </c>
      <c r="AI40">
        <v>489.5</v>
      </c>
      <c r="AL40" t="s">
        <v>420</v>
      </c>
      <c r="AM40">
        <v>3</v>
      </c>
      <c r="AN40">
        <v>1</v>
      </c>
      <c r="AO40">
        <v>23</v>
      </c>
      <c r="AP40">
        <v>2</v>
      </c>
      <c r="AQ40">
        <v>446</v>
      </c>
      <c r="AR40">
        <v>2</v>
      </c>
      <c r="AS40">
        <v>355</v>
      </c>
    </row>
    <row r="41" spans="6:49" x14ac:dyDescent="0.2">
      <c r="F41" t="s">
        <v>46</v>
      </c>
      <c r="G41">
        <v>19580</v>
      </c>
      <c r="H41">
        <v>13356</v>
      </c>
      <c r="I41">
        <v>533.75851740919995</v>
      </c>
      <c r="J41">
        <v>1339</v>
      </c>
      <c r="K41">
        <v>658.12920089620002</v>
      </c>
      <c r="L41">
        <v>5008</v>
      </c>
      <c r="M41">
        <v>701.40575079869996</v>
      </c>
      <c r="N41">
        <v>1193</v>
      </c>
      <c r="O41">
        <v>635.60151006709998</v>
      </c>
      <c r="R41">
        <v>23</v>
      </c>
      <c r="S41">
        <v>732.30434782609996</v>
      </c>
      <c r="V41" t="s">
        <v>410</v>
      </c>
      <c r="W41">
        <v>5351</v>
      </c>
      <c r="X41">
        <v>4136</v>
      </c>
      <c r="Y41">
        <v>454.78795938100001</v>
      </c>
      <c r="Z41">
        <v>313</v>
      </c>
      <c r="AA41">
        <v>899.24281150160004</v>
      </c>
      <c r="AB41">
        <v>560</v>
      </c>
      <c r="AC41">
        <v>260.3464285714</v>
      </c>
      <c r="AD41">
        <v>451</v>
      </c>
      <c r="AE41">
        <v>586.17738359199996</v>
      </c>
      <c r="AF41">
        <v>201</v>
      </c>
      <c r="AG41">
        <v>173.90049751239999</v>
      </c>
      <c r="AH41">
        <v>3</v>
      </c>
      <c r="AI41">
        <v>250</v>
      </c>
      <c r="AL41" t="s">
        <v>410</v>
      </c>
      <c r="AM41">
        <v>146</v>
      </c>
      <c r="AN41">
        <v>99</v>
      </c>
      <c r="AO41">
        <v>341.58585858589998</v>
      </c>
      <c r="AP41">
        <v>16</v>
      </c>
      <c r="AQ41">
        <v>640.9375</v>
      </c>
      <c r="AR41">
        <v>46</v>
      </c>
      <c r="AS41">
        <v>249.4347826087</v>
      </c>
      <c r="AT41">
        <v>1</v>
      </c>
      <c r="AU41">
        <v>10</v>
      </c>
    </row>
    <row r="42" spans="6:49" x14ac:dyDescent="0.2">
      <c r="F42" t="s">
        <v>49</v>
      </c>
      <c r="G42">
        <v>4631</v>
      </c>
      <c r="H42">
        <v>3035</v>
      </c>
      <c r="I42">
        <v>328.3686985173</v>
      </c>
      <c r="J42">
        <v>432</v>
      </c>
      <c r="K42">
        <v>512.7152777778</v>
      </c>
      <c r="L42">
        <v>1133</v>
      </c>
      <c r="M42">
        <v>355</v>
      </c>
      <c r="N42">
        <v>457</v>
      </c>
      <c r="O42">
        <v>514.31509846829999</v>
      </c>
      <c r="R42">
        <v>6</v>
      </c>
      <c r="S42">
        <v>679.66666666670005</v>
      </c>
      <c r="V42" t="s">
        <v>402</v>
      </c>
      <c r="W42">
        <v>6681</v>
      </c>
      <c r="X42">
        <v>4039</v>
      </c>
      <c r="Y42">
        <v>304.9341421144</v>
      </c>
      <c r="Z42">
        <v>369</v>
      </c>
      <c r="AA42">
        <v>500.5149051491</v>
      </c>
      <c r="AB42">
        <v>2030</v>
      </c>
      <c r="AC42">
        <v>783.75320197040003</v>
      </c>
      <c r="AD42">
        <v>367</v>
      </c>
      <c r="AE42">
        <v>391.09809264310002</v>
      </c>
      <c r="AF42">
        <v>231</v>
      </c>
      <c r="AG42">
        <v>177.5887445887</v>
      </c>
      <c r="AH42">
        <v>14</v>
      </c>
      <c r="AI42">
        <v>411.42857142859998</v>
      </c>
      <c r="AL42" t="s">
        <v>402</v>
      </c>
      <c r="AM42">
        <v>60</v>
      </c>
      <c r="AN42">
        <v>41</v>
      </c>
      <c r="AO42">
        <v>182.70731707319999</v>
      </c>
      <c r="AP42">
        <v>31</v>
      </c>
      <c r="AQ42">
        <v>271.61290322579998</v>
      </c>
      <c r="AR42">
        <v>17</v>
      </c>
      <c r="AS42">
        <v>112</v>
      </c>
      <c r="AT42">
        <v>2</v>
      </c>
      <c r="AU42">
        <v>495.5</v>
      </c>
    </row>
    <row r="43" spans="6:49" x14ac:dyDescent="0.2">
      <c r="F43" t="s">
        <v>36</v>
      </c>
      <c r="G43">
        <v>318</v>
      </c>
      <c r="H43">
        <v>237</v>
      </c>
      <c r="I43">
        <v>465.92827004219998</v>
      </c>
      <c r="J43">
        <v>121</v>
      </c>
      <c r="K43">
        <v>409.14049586779998</v>
      </c>
      <c r="L43">
        <v>60</v>
      </c>
      <c r="M43">
        <v>205.15</v>
      </c>
      <c r="N43">
        <v>20</v>
      </c>
      <c r="O43">
        <v>320</v>
      </c>
      <c r="R43">
        <v>1</v>
      </c>
      <c r="S43">
        <v>463</v>
      </c>
      <c r="V43" t="s">
        <v>411</v>
      </c>
      <c r="W43">
        <v>4342</v>
      </c>
      <c r="X43">
        <v>2842</v>
      </c>
      <c r="Y43">
        <v>209.13370865589999</v>
      </c>
      <c r="Z43">
        <v>904</v>
      </c>
      <c r="AA43">
        <v>323.5165929204</v>
      </c>
      <c r="AB43">
        <v>852</v>
      </c>
      <c r="AC43">
        <v>226.17957746479999</v>
      </c>
      <c r="AD43">
        <v>384</v>
      </c>
      <c r="AE43">
        <v>282.94516971280001</v>
      </c>
      <c r="AF43">
        <v>258</v>
      </c>
      <c r="AG43">
        <v>172.6666666667</v>
      </c>
      <c r="AH43">
        <v>6</v>
      </c>
      <c r="AI43">
        <v>246.1666666667</v>
      </c>
      <c r="AL43" t="s">
        <v>411</v>
      </c>
      <c r="AM43">
        <v>76</v>
      </c>
      <c r="AN43">
        <v>54</v>
      </c>
      <c r="AO43">
        <v>149.6296296296</v>
      </c>
      <c r="AP43">
        <v>37</v>
      </c>
      <c r="AQ43">
        <v>241.2162162162</v>
      </c>
      <c r="AR43">
        <v>18</v>
      </c>
      <c r="AS43">
        <v>86.333333333300004</v>
      </c>
      <c r="AT43">
        <v>4</v>
      </c>
      <c r="AU43">
        <v>314.25</v>
      </c>
    </row>
    <row r="44" spans="6:49" x14ac:dyDescent="0.2">
      <c r="F44" t="s">
        <v>27</v>
      </c>
      <c r="G44">
        <v>3977</v>
      </c>
      <c r="H44">
        <v>2758</v>
      </c>
      <c r="I44">
        <v>198.01305293690001</v>
      </c>
      <c r="J44">
        <v>912</v>
      </c>
      <c r="K44">
        <v>317.6041666667</v>
      </c>
      <c r="L44">
        <v>815</v>
      </c>
      <c r="M44">
        <v>206.6674846626</v>
      </c>
      <c r="N44">
        <v>398</v>
      </c>
      <c r="O44">
        <v>283.80352644840002</v>
      </c>
      <c r="R44">
        <v>6</v>
      </c>
      <c r="S44">
        <v>246.1666666667</v>
      </c>
      <c r="V44" t="s">
        <v>386</v>
      </c>
      <c r="W44">
        <v>6002</v>
      </c>
      <c r="X44">
        <v>4942</v>
      </c>
      <c r="Y44">
        <v>458.56151355729997</v>
      </c>
      <c r="Z44">
        <v>506</v>
      </c>
      <c r="AA44">
        <v>712.69565217390004</v>
      </c>
      <c r="AB44">
        <v>553</v>
      </c>
      <c r="AC44">
        <v>380.85352622059997</v>
      </c>
      <c r="AD44">
        <v>298</v>
      </c>
      <c r="AE44">
        <v>456.6879194631</v>
      </c>
      <c r="AF44">
        <v>191</v>
      </c>
      <c r="AG44">
        <v>178.84816753929999</v>
      </c>
      <c r="AH44">
        <v>18</v>
      </c>
      <c r="AI44">
        <v>479.3333333333</v>
      </c>
      <c r="AL44" t="s">
        <v>386</v>
      </c>
      <c r="AM44">
        <v>159</v>
      </c>
      <c r="AN44">
        <v>114</v>
      </c>
      <c r="AO44">
        <v>334.15789473680002</v>
      </c>
      <c r="AP44">
        <v>27</v>
      </c>
      <c r="AQ44">
        <v>759.70370370369994</v>
      </c>
      <c r="AR44">
        <v>42</v>
      </c>
      <c r="AS44">
        <v>364.30952380949998</v>
      </c>
      <c r="AT44">
        <v>3</v>
      </c>
      <c r="AU44">
        <v>528</v>
      </c>
    </row>
    <row r="45" spans="6:49" x14ac:dyDescent="0.2">
      <c r="F45" t="s">
        <v>51</v>
      </c>
      <c r="G45">
        <v>5289</v>
      </c>
      <c r="H45">
        <v>4268</v>
      </c>
      <c r="I45">
        <v>457.21251171509999</v>
      </c>
      <c r="J45">
        <v>319</v>
      </c>
      <c r="K45">
        <v>924.87460815049997</v>
      </c>
      <c r="L45">
        <v>557</v>
      </c>
      <c r="M45">
        <v>240.289048474</v>
      </c>
      <c r="N45">
        <v>461</v>
      </c>
      <c r="O45">
        <v>591.75921908889995</v>
      </c>
      <c r="R45">
        <v>3</v>
      </c>
      <c r="S45">
        <v>432</v>
      </c>
      <c r="V45" t="s">
        <v>388</v>
      </c>
      <c r="W45">
        <v>4903</v>
      </c>
      <c r="X45">
        <v>3090</v>
      </c>
      <c r="Y45">
        <v>334.75242718449999</v>
      </c>
      <c r="Z45">
        <v>441</v>
      </c>
      <c r="AA45">
        <v>526.91383219950001</v>
      </c>
      <c r="AB45">
        <v>1154</v>
      </c>
      <c r="AC45">
        <v>363.70103986139998</v>
      </c>
      <c r="AD45">
        <v>463</v>
      </c>
      <c r="AE45">
        <v>511.10367170630002</v>
      </c>
      <c r="AF45">
        <v>190</v>
      </c>
      <c r="AG45">
        <v>207.7210526316</v>
      </c>
      <c r="AH45">
        <v>6</v>
      </c>
      <c r="AI45">
        <v>679.66666666670005</v>
      </c>
      <c r="AL45" t="s">
        <v>388</v>
      </c>
      <c r="AM45">
        <v>144</v>
      </c>
      <c r="AN45">
        <v>99</v>
      </c>
      <c r="AO45">
        <v>358.51515151519999</v>
      </c>
      <c r="AP45">
        <v>9</v>
      </c>
      <c r="AQ45">
        <v>434.55555555559999</v>
      </c>
      <c r="AR45">
        <v>44</v>
      </c>
      <c r="AS45">
        <v>354.59090909090003</v>
      </c>
      <c r="AT45">
        <v>1</v>
      </c>
      <c r="AU45">
        <v>471</v>
      </c>
    </row>
    <row r="46" spans="6:49" x14ac:dyDescent="0.2">
      <c r="F46" t="s">
        <v>59</v>
      </c>
      <c r="G46">
        <v>5819</v>
      </c>
      <c r="H46">
        <v>4948</v>
      </c>
      <c r="I46">
        <v>462.52607113990001</v>
      </c>
      <c r="J46">
        <v>500</v>
      </c>
      <c r="K46">
        <v>722.59799999999996</v>
      </c>
      <c r="L46">
        <v>555</v>
      </c>
      <c r="M46">
        <v>384.90090090090001</v>
      </c>
      <c r="N46">
        <v>297</v>
      </c>
      <c r="O46">
        <v>456.75757575760002</v>
      </c>
      <c r="R46">
        <v>19</v>
      </c>
      <c r="S46">
        <v>461.52631578950002</v>
      </c>
      <c r="V46" t="s">
        <v>384</v>
      </c>
      <c r="W46">
        <v>70301</v>
      </c>
      <c r="X46">
        <v>49427</v>
      </c>
      <c r="Y46">
        <v>424.98179132860002</v>
      </c>
      <c r="Z46">
        <v>6282</v>
      </c>
      <c r="AA46">
        <v>585.62066220949998</v>
      </c>
      <c r="AB46">
        <v>14185</v>
      </c>
      <c r="AC46">
        <v>605.17130771940003</v>
      </c>
      <c r="AD46">
        <v>4135</v>
      </c>
      <c r="AE46">
        <v>482.77715944829998</v>
      </c>
      <c r="AF46">
        <v>2440</v>
      </c>
      <c r="AG46">
        <v>186.17131147539999</v>
      </c>
      <c r="AH46">
        <v>114</v>
      </c>
      <c r="AI46">
        <v>487.03508771930001</v>
      </c>
      <c r="AL46" t="s">
        <v>384</v>
      </c>
      <c r="AM46">
        <v>889</v>
      </c>
      <c r="AN46">
        <v>620</v>
      </c>
      <c r="AO46">
        <v>275.40483870970002</v>
      </c>
      <c r="AP46">
        <v>282</v>
      </c>
      <c r="AQ46">
        <v>368.09929078009998</v>
      </c>
      <c r="AR46">
        <v>249</v>
      </c>
      <c r="AS46">
        <v>259.42570281119998</v>
      </c>
      <c r="AT46">
        <v>20</v>
      </c>
      <c r="AU46">
        <v>313</v>
      </c>
    </row>
    <row r="47" spans="6:49" x14ac:dyDescent="0.2">
      <c r="F47" t="s">
        <v>181</v>
      </c>
      <c r="G47">
        <v>333</v>
      </c>
      <c r="H47">
        <v>207</v>
      </c>
      <c r="I47">
        <v>274.37198067629998</v>
      </c>
      <c r="J47">
        <v>215</v>
      </c>
      <c r="K47">
        <v>325.28372093019999</v>
      </c>
      <c r="L47">
        <v>79</v>
      </c>
      <c r="M47">
        <v>202.78481012660001</v>
      </c>
      <c r="N47">
        <v>45</v>
      </c>
      <c r="O47">
        <v>374.97777777779999</v>
      </c>
      <c r="R47">
        <v>2</v>
      </c>
      <c r="S47">
        <v>480</v>
      </c>
      <c r="V47" t="s">
        <v>415</v>
      </c>
      <c r="W47">
        <v>495</v>
      </c>
      <c r="X47">
        <v>378</v>
      </c>
      <c r="Y47">
        <v>247.16402116399999</v>
      </c>
      <c r="Z47">
        <v>32</v>
      </c>
      <c r="AA47">
        <v>610.46875</v>
      </c>
      <c r="AB47">
        <v>33</v>
      </c>
      <c r="AC47">
        <v>463.75757575760002</v>
      </c>
      <c r="AD47">
        <v>65</v>
      </c>
      <c r="AE47">
        <v>295.87692307690003</v>
      </c>
      <c r="AF47">
        <v>12</v>
      </c>
      <c r="AG47">
        <v>303.1666666667</v>
      </c>
      <c r="AH47">
        <v>7</v>
      </c>
      <c r="AI47">
        <v>298.71428571429999</v>
      </c>
      <c r="AL47" t="s">
        <v>415</v>
      </c>
      <c r="AM47">
        <v>22</v>
      </c>
      <c r="AN47">
        <v>15</v>
      </c>
      <c r="AO47">
        <v>182.86666666670001</v>
      </c>
      <c r="AP47">
        <v>5</v>
      </c>
      <c r="AQ47">
        <v>233.8</v>
      </c>
      <c r="AR47">
        <v>7</v>
      </c>
      <c r="AS47">
        <v>61.857142857100001</v>
      </c>
    </row>
    <row r="48" spans="6:49" x14ac:dyDescent="0.2">
      <c r="F48" t="s">
        <v>70</v>
      </c>
      <c r="G48">
        <v>1091</v>
      </c>
      <c r="H48">
        <v>898</v>
      </c>
      <c r="I48">
        <v>365.75723830729999</v>
      </c>
      <c r="J48">
        <v>601</v>
      </c>
      <c r="K48">
        <v>374.26455906820001</v>
      </c>
      <c r="L48">
        <v>100</v>
      </c>
      <c r="M48">
        <v>139.69999999999999</v>
      </c>
      <c r="N48">
        <v>83</v>
      </c>
      <c r="O48">
        <v>210.80722891569999</v>
      </c>
      <c r="R48">
        <v>10</v>
      </c>
      <c r="S48">
        <v>236.8</v>
      </c>
      <c r="V48" t="s">
        <v>416</v>
      </c>
      <c r="W48">
        <v>115</v>
      </c>
      <c r="X48">
        <v>80</v>
      </c>
      <c r="Y48">
        <v>182.58750000000001</v>
      </c>
      <c r="Z48">
        <v>38</v>
      </c>
      <c r="AA48">
        <v>196.7105263158</v>
      </c>
      <c r="AB48">
        <v>5</v>
      </c>
      <c r="AC48">
        <v>328.4</v>
      </c>
      <c r="AD48">
        <v>22</v>
      </c>
      <c r="AE48">
        <v>425.95454545450002</v>
      </c>
      <c r="AF48">
        <v>5</v>
      </c>
      <c r="AG48">
        <v>93.4</v>
      </c>
      <c r="AH48">
        <v>3</v>
      </c>
      <c r="AI48">
        <v>262.6666666667</v>
      </c>
      <c r="AL48" t="s">
        <v>416</v>
      </c>
      <c r="AM48">
        <v>9</v>
      </c>
      <c r="AN48">
        <v>7</v>
      </c>
      <c r="AO48">
        <v>179.57142857139999</v>
      </c>
      <c r="AP48">
        <v>2</v>
      </c>
      <c r="AQ48">
        <v>308</v>
      </c>
      <c r="AR48">
        <v>1</v>
      </c>
      <c r="AS48">
        <v>116</v>
      </c>
      <c r="AT48">
        <v>1</v>
      </c>
      <c r="AU48">
        <v>786</v>
      </c>
    </row>
    <row r="49" spans="6:51" x14ac:dyDescent="0.2">
      <c r="F49" t="s">
        <v>384</v>
      </c>
      <c r="G49">
        <v>67672</v>
      </c>
      <c r="H49">
        <v>49299</v>
      </c>
      <c r="I49">
        <v>425.62308815770001</v>
      </c>
      <c r="J49">
        <v>6073</v>
      </c>
      <c r="K49">
        <v>588.72731763540003</v>
      </c>
      <c r="L49">
        <v>14126</v>
      </c>
      <c r="M49">
        <v>611.18773892110005</v>
      </c>
      <c r="N49">
        <v>4136</v>
      </c>
      <c r="O49">
        <v>486.3270440252</v>
      </c>
      <c r="R49">
        <v>111</v>
      </c>
      <c r="S49">
        <v>490.70270270269998</v>
      </c>
      <c r="V49" t="s">
        <v>422</v>
      </c>
      <c r="W49">
        <v>632</v>
      </c>
      <c r="X49">
        <v>379</v>
      </c>
      <c r="Y49">
        <v>358.65435356199998</v>
      </c>
      <c r="Z49">
        <v>57</v>
      </c>
      <c r="AA49">
        <v>533.43859649119997</v>
      </c>
      <c r="AB49">
        <v>149</v>
      </c>
      <c r="AC49">
        <v>437.11409395970003</v>
      </c>
      <c r="AD49">
        <v>78</v>
      </c>
      <c r="AE49">
        <v>645.66666666670005</v>
      </c>
      <c r="AF49">
        <v>21</v>
      </c>
      <c r="AG49">
        <v>216.71428571429999</v>
      </c>
      <c r="AH49">
        <v>5</v>
      </c>
      <c r="AI49">
        <v>502.4</v>
      </c>
      <c r="AL49" t="s">
        <v>422</v>
      </c>
      <c r="AM49">
        <v>7</v>
      </c>
      <c r="AN49">
        <v>7</v>
      </c>
      <c r="AO49">
        <v>210.8571428571</v>
      </c>
      <c r="AP49">
        <v>7</v>
      </c>
      <c r="AQ49">
        <v>422.14285714290003</v>
      </c>
    </row>
    <row r="50" spans="6:51" x14ac:dyDescent="0.2">
      <c r="F50" t="s">
        <v>212</v>
      </c>
      <c r="G50">
        <v>1003</v>
      </c>
      <c r="H50">
        <v>716</v>
      </c>
      <c r="I50">
        <v>172.90921787709999</v>
      </c>
      <c r="J50">
        <v>555</v>
      </c>
      <c r="K50">
        <v>277.96576576579997</v>
      </c>
      <c r="L50">
        <v>246</v>
      </c>
      <c r="M50">
        <v>153.91056910570001</v>
      </c>
      <c r="N50">
        <v>41</v>
      </c>
      <c r="O50">
        <v>221.29268292680001</v>
      </c>
      <c r="V50" t="s">
        <v>375</v>
      </c>
      <c r="W50">
        <v>5770</v>
      </c>
      <c r="X50">
        <v>4679</v>
      </c>
      <c r="Y50">
        <v>546.28360760850001</v>
      </c>
      <c r="Z50">
        <v>511</v>
      </c>
      <c r="AA50">
        <v>924.4500978474</v>
      </c>
      <c r="AB50">
        <v>625</v>
      </c>
      <c r="AC50">
        <v>670.68320000000006</v>
      </c>
      <c r="AD50">
        <v>317</v>
      </c>
      <c r="AE50">
        <v>637.11671924289999</v>
      </c>
      <c r="AF50">
        <v>137</v>
      </c>
      <c r="AG50">
        <v>138.81021897810001</v>
      </c>
      <c r="AH50">
        <v>12</v>
      </c>
      <c r="AI50">
        <v>609.75</v>
      </c>
      <c r="AL50" t="s">
        <v>375</v>
      </c>
      <c r="AM50">
        <v>51</v>
      </c>
      <c r="AN50">
        <v>39</v>
      </c>
      <c r="AO50">
        <v>172.8461538462</v>
      </c>
      <c r="AP50">
        <v>25</v>
      </c>
      <c r="AQ50">
        <v>376.8</v>
      </c>
      <c r="AR50">
        <v>7</v>
      </c>
      <c r="AS50">
        <v>148.8571428571</v>
      </c>
      <c r="AT50">
        <v>5</v>
      </c>
      <c r="AU50">
        <v>330.2</v>
      </c>
    </row>
    <row r="51" spans="6:51" x14ac:dyDescent="0.2">
      <c r="F51" t="s">
        <v>209</v>
      </c>
      <c r="G51">
        <v>2316</v>
      </c>
      <c r="H51">
        <v>1640</v>
      </c>
      <c r="I51">
        <v>357.43780487800001</v>
      </c>
      <c r="J51">
        <v>252</v>
      </c>
      <c r="K51">
        <v>636.04365079369995</v>
      </c>
      <c r="L51">
        <v>628</v>
      </c>
      <c r="M51">
        <v>330.69904458600001</v>
      </c>
      <c r="N51">
        <v>48</v>
      </c>
      <c r="O51">
        <v>342.75</v>
      </c>
      <c r="V51" t="s">
        <v>60</v>
      </c>
      <c r="W51">
        <v>5401</v>
      </c>
      <c r="X51">
        <v>3738</v>
      </c>
      <c r="Y51">
        <v>258.24424826109998</v>
      </c>
      <c r="Z51">
        <v>521</v>
      </c>
      <c r="AA51">
        <v>380.77543186179997</v>
      </c>
      <c r="AB51">
        <v>876</v>
      </c>
      <c r="AC51">
        <v>306.11872146119998</v>
      </c>
      <c r="AD51">
        <v>510</v>
      </c>
      <c r="AE51">
        <v>602.82514734769995</v>
      </c>
      <c r="AF51">
        <v>264</v>
      </c>
      <c r="AG51">
        <v>183.2007575758</v>
      </c>
      <c r="AH51">
        <v>13</v>
      </c>
      <c r="AI51">
        <v>712.15384615380003</v>
      </c>
      <c r="AL51" t="s">
        <v>60</v>
      </c>
      <c r="AM51">
        <v>149</v>
      </c>
      <c r="AN51">
        <v>106</v>
      </c>
      <c r="AO51">
        <v>186.68867924529999</v>
      </c>
      <c r="AP51">
        <v>57</v>
      </c>
      <c r="AQ51">
        <v>392.40350877190002</v>
      </c>
      <c r="AR51">
        <v>33</v>
      </c>
      <c r="AS51">
        <v>155.54545454550001</v>
      </c>
      <c r="AT51">
        <v>10</v>
      </c>
      <c r="AU51">
        <v>305.89999999999998</v>
      </c>
    </row>
    <row r="52" spans="6:51" x14ac:dyDescent="0.2">
      <c r="F52" t="s">
        <v>210</v>
      </c>
      <c r="G52">
        <v>1775</v>
      </c>
      <c r="H52">
        <v>1249</v>
      </c>
      <c r="I52">
        <v>204.23618895120001</v>
      </c>
      <c r="J52">
        <v>663</v>
      </c>
      <c r="K52">
        <v>392.91251885370002</v>
      </c>
      <c r="L52">
        <v>423</v>
      </c>
      <c r="M52">
        <v>150.78723404260001</v>
      </c>
      <c r="N52">
        <v>102</v>
      </c>
      <c r="O52">
        <v>317.1862745098</v>
      </c>
      <c r="R52">
        <v>1</v>
      </c>
      <c r="S52">
        <v>348</v>
      </c>
      <c r="V52" t="s">
        <v>377</v>
      </c>
      <c r="W52">
        <v>15217</v>
      </c>
      <c r="X52">
        <v>10874</v>
      </c>
      <c r="Y52">
        <v>388.92964870330002</v>
      </c>
      <c r="Z52">
        <v>785</v>
      </c>
      <c r="AA52">
        <v>771.39872611459998</v>
      </c>
      <c r="AB52">
        <v>3313</v>
      </c>
      <c r="AC52">
        <v>702.07425294300003</v>
      </c>
      <c r="AD52">
        <v>622</v>
      </c>
      <c r="AE52">
        <v>477.89710610930001</v>
      </c>
      <c r="AF52">
        <v>407</v>
      </c>
      <c r="AG52">
        <v>144.73218673220001</v>
      </c>
      <c r="AH52">
        <v>1</v>
      </c>
      <c r="AI52">
        <v>484</v>
      </c>
      <c r="AL52" t="s">
        <v>377</v>
      </c>
      <c r="AM52">
        <v>100</v>
      </c>
      <c r="AN52">
        <v>76</v>
      </c>
      <c r="AO52">
        <v>203.67105263159999</v>
      </c>
      <c r="AP52">
        <v>46</v>
      </c>
      <c r="AQ52">
        <v>379.82608695649998</v>
      </c>
      <c r="AR52">
        <v>17</v>
      </c>
      <c r="AS52">
        <v>117.5294117647</v>
      </c>
      <c r="AT52">
        <v>7</v>
      </c>
      <c r="AU52">
        <v>280.14285714290003</v>
      </c>
    </row>
    <row r="53" spans="6:51" x14ac:dyDescent="0.2">
      <c r="F53" t="s">
        <v>461</v>
      </c>
      <c r="G53">
        <v>5094</v>
      </c>
      <c r="H53">
        <v>3605</v>
      </c>
      <c r="I53">
        <v>267.70929264910001</v>
      </c>
      <c r="J53">
        <v>1470</v>
      </c>
      <c r="K53">
        <v>391.19387755100001</v>
      </c>
      <c r="L53">
        <v>1297</v>
      </c>
      <c r="M53">
        <v>238.4919043948</v>
      </c>
      <c r="N53">
        <v>191</v>
      </c>
      <c r="O53">
        <v>303.02617801050002</v>
      </c>
      <c r="R53">
        <v>1</v>
      </c>
      <c r="S53">
        <v>348</v>
      </c>
      <c r="V53" t="s">
        <v>373</v>
      </c>
      <c r="W53">
        <v>3833</v>
      </c>
      <c r="X53">
        <v>2496</v>
      </c>
      <c r="Y53">
        <v>340.55929487179998</v>
      </c>
      <c r="Z53">
        <v>474</v>
      </c>
      <c r="AA53">
        <v>431.96835443039998</v>
      </c>
      <c r="AB53">
        <v>598</v>
      </c>
      <c r="AC53">
        <v>243.23076923080001</v>
      </c>
      <c r="AD53">
        <v>573</v>
      </c>
      <c r="AE53">
        <v>564.56893542759997</v>
      </c>
      <c r="AF53">
        <v>145</v>
      </c>
      <c r="AG53">
        <v>199.03448275860001</v>
      </c>
      <c r="AH53">
        <v>21</v>
      </c>
      <c r="AI53">
        <v>574.61904761899996</v>
      </c>
      <c r="AL53" t="s">
        <v>373</v>
      </c>
      <c r="AM53">
        <v>130</v>
      </c>
      <c r="AN53">
        <v>92</v>
      </c>
      <c r="AO53">
        <v>192.1086956522</v>
      </c>
      <c r="AP53">
        <v>43</v>
      </c>
      <c r="AQ53">
        <v>329.6976744186</v>
      </c>
      <c r="AR53">
        <v>29</v>
      </c>
      <c r="AS53">
        <v>164.68965517239999</v>
      </c>
      <c r="AT53">
        <v>8</v>
      </c>
      <c r="AU53">
        <v>255</v>
      </c>
      <c r="AX53">
        <v>1</v>
      </c>
      <c r="AY53">
        <v>348</v>
      </c>
    </row>
    <row r="54" spans="6:51" x14ac:dyDescent="0.2">
      <c r="F54" t="s">
        <v>78</v>
      </c>
      <c r="G54">
        <v>994</v>
      </c>
      <c r="H54">
        <v>813</v>
      </c>
      <c r="I54">
        <v>452.93726937269997</v>
      </c>
      <c r="J54">
        <v>86</v>
      </c>
      <c r="K54">
        <v>763.03488372089998</v>
      </c>
      <c r="L54">
        <v>25</v>
      </c>
      <c r="M54">
        <v>325.88</v>
      </c>
      <c r="N54">
        <v>149</v>
      </c>
      <c r="O54">
        <v>445.94630872480002</v>
      </c>
      <c r="R54">
        <v>7</v>
      </c>
      <c r="S54">
        <v>298.71428571429999</v>
      </c>
      <c r="V54" t="s">
        <v>372</v>
      </c>
      <c r="W54">
        <v>1394</v>
      </c>
      <c r="X54">
        <v>909</v>
      </c>
      <c r="Y54">
        <v>218.24202420239999</v>
      </c>
      <c r="Z54">
        <v>135</v>
      </c>
      <c r="AA54">
        <v>318.7037037037</v>
      </c>
      <c r="AB54">
        <v>257</v>
      </c>
      <c r="AC54">
        <v>224.1556420233</v>
      </c>
      <c r="AD54">
        <v>149</v>
      </c>
      <c r="AE54">
        <v>296.88590604029997</v>
      </c>
      <c r="AF54">
        <v>76</v>
      </c>
      <c r="AG54">
        <v>155.76315789469999</v>
      </c>
      <c r="AH54">
        <v>3</v>
      </c>
      <c r="AI54">
        <v>231.6666666667</v>
      </c>
      <c r="AL54" t="s">
        <v>372</v>
      </c>
      <c r="AM54">
        <v>31</v>
      </c>
      <c r="AN54">
        <v>20</v>
      </c>
      <c r="AO54">
        <v>183.95</v>
      </c>
      <c r="AP54">
        <v>17</v>
      </c>
      <c r="AQ54">
        <v>371.1176470588</v>
      </c>
      <c r="AR54">
        <v>10</v>
      </c>
      <c r="AS54">
        <v>148.30000000000001</v>
      </c>
      <c r="AT54">
        <v>1</v>
      </c>
      <c r="AU54">
        <v>249</v>
      </c>
    </row>
    <row r="55" spans="6:51" x14ac:dyDescent="0.2">
      <c r="F55" t="s">
        <v>35</v>
      </c>
      <c r="G55">
        <v>3203</v>
      </c>
      <c r="H55">
        <v>1963</v>
      </c>
      <c r="I55">
        <v>460.4092762487</v>
      </c>
      <c r="J55">
        <v>225</v>
      </c>
      <c r="K55">
        <v>475.46666666670001</v>
      </c>
      <c r="L55">
        <v>924</v>
      </c>
      <c r="M55">
        <v>475.10281385280001</v>
      </c>
      <c r="N55">
        <v>305</v>
      </c>
      <c r="O55">
        <v>614.26885245899996</v>
      </c>
      <c r="R55">
        <v>11</v>
      </c>
      <c r="S55">
        <v>409.90909090909997</v>
      </c>
      <c r="V55" t="s">
        <v>374</v>
      </c>
      <c r="W55">
        <v>7222</v>
      </c>
      <c r="X55">
        <v>5068</v>
      </c>
      <c r="Y55">
        <v>398.2227703236</v>
      </c>
      <c r="Z55">
        <v>689</v>
      </c>
      <c r="AA55">
        <v>561.79825834539997</v>
      </c>
      <c r="AB55">
        <v>926</v>
      </c>
      <c r="AC55">
        <v>403.9222462203</v>
      </c>
      <c r="AD55">
        <v>909</v>
      </c>
      <c r="AE55">
        <v>699.62046204620003</v>
      </c>
      <c r="AF55">
        <v>288</v>
      </c>
      <c r="AG55">
        <v>179.8159722222</v>
      </c>
      <c r="AH55">
        <v>31</v>
      </c>
      <c r="AI55">
        <v>487.12903225809998</v>
      </c>
      <c r="AL55" t="s">
        <v>374</v>
      </c>
      <c r="AM55">
        <v>167</v>
      </c>
      <c r="AN55">
        <v>119</v>
      </c>
      <c r="AO55">
        <v>193.10084033609999</v>
      </c>
      <c r="AP55">
        <v>55</v>
      </c>
      <c r="AQ55">
        <v>400.09090909090003</v>
      </c>
      <c r="AR55">
        <v>34</v>
      </c>
      <c r="AS55">
        <v>151.73529411760001</v>
      </c>
      <c r="AT55">
        <v>13</v>
      </c>
      <c r="AU55">
        <v>425.53846153849997</v>
      </c>
      <c r="AV55">
        <v>1</v>
      </c>
      <c r="AW55">
        <v>5427</v>
      </c>
    </row>
    <row r="56" spans="6:51" x14ac:dyDescent="0.2">
      <c r="F56" t="s">
        <v>61</v>
      </c>
      <c r="G56">
        <v>2456</v>
      </c>
      <c r="H56">
        <v>1776</v>
      </c>
      <c r="I56">
        <v>373.52759009009998</v>
      </c>
      <c r="J56">
        <v>386</v>
      </c>
      <c r="K56">
        <v>442.45077720210003</v>
      </c>
      <c r="L56">
        <v>267</v>
      </c>
      <c r="M56">
        <v>78.307116104900004</v>
      </c>
      <c r="N56">
        <v>400</v>
      </c>
      <c r="O56">
        <v>510.52499999999998</v>
      </c>
      <c r="R56">
        <v>13</v>
      </c>
      <c r="S56">
        <v>523.69230769230001</v>
      </c>
      <c r="V56" t="s">
        <v>371</v>
      </c>
      <c r="W56">
        <v>289</v>
      </c>
      <c r="X56">
        <v>147</v>
      </c>
      <c r="Y56">
        <v>171.08843537409999</v>
      </c>
      <c r="Z56">
        <v>89</v>
      </c>
      <c r="AA56">
        <v>196.2134831461</v>
      </c>
      <c r="AB56">
        <v>72</v>
      </c>
      <c r="AC56">
        <v>146.3333333333</v>
      </c>
      <c r="AD56">
        <v>31</v>
      </c>
      <c r="AE56">
        <v>190.87096774189999</v>
      </c>
      <c r="AF56">
        <v>38</v>
      </c>
      <c r="AG56">
        <v>184.02631578949999</v>
      </c>
      <c r="AH56">
        <v>1</v>
      </c>
      <c r="AI56">
        <v>271</v>
      </c>
      <c r="AL56" t="s">
        <v>371</v>
      </c>
      <c r="AM56">
        <v>19</v>
      </c>
      <c r="AN56">
        <v>13</v>
      </c>
      <c r="AO56">
        <v>132.69230769230001</v>
      </c>
      <c r="AP56">
        <v>2</v>
      </c>
      <c r="AQ56">
        <v>483.5</v>
      </c>
      <c r="AR56">
        <v>5</v>
      </c>
      <c r="AS56">
        <v>175.2</v>
      </c>
      <c r="AT56">
        <v>1</v>
      </c>
      <c r="AU56">
        <v>235</v>
      </c>
    </row>
    <row r="57" spans="6:51" x14ac:dyDescent="0.2">
      <c r="F57" t="s">
        <v>24</v>
      </c>
      <c r="G57">
        <v>2071</v>
      </c>
      <c r="H57">
        <v>1260</v>
      </c>
      <c r="I57">
        <v>265.12063492060003</v>
      </c>
      <c r="J57">
        <v>417</v>
      </c>
      <c r="K57">
        <v>333.82014388490001</v>
      </c>
      <c r="L57">
        <v>583</v>
      </c>
      <c r="M57">
        <v>334.90394511149998</v>
      </c>
      <c r="N57">
        <v>215</v>
      </c>
      <c r="O57">
        <v>565.16279069769996</v>
      </c>
      <c r="R57">
        <v>13</v>
      </c>
      <c r="S57">
        <v>783.15384615380003</v>
      </c>
      <c r="V57" t="s">
        <v>370</v>
      </c>
      <c r="W57">
        <v>3331</v>
      </c>
      <c r="X57">
        <v>1923</v>
      </c>
      <c r="Y57">
        <v>430.70499479710003</v>
      </c>
      <c r="Z57">
        <v>321</v>
      </c>
      <c r="AA57">
        <v>437.95015576319997</v>
      </c>
      <c r="AB57">
        <v>932</v>
      </c>
      <c r="AC57">
        <v>453.20278969959998</v>
      </c>
      <c r="AD57">
        <v>314</v>
      </c>
      <c r="AE57">
        <v>578.39171974520002</v>
      </c>
      <c r="AF57">
        <v>151</v>
      </c>
      <c r="AG57">
        <v>171.92052980130001</v>
      </c>
      <c r="AH57">
        <v>11</v>
      </c>
      <c r="AI57">
        <v>409.90909090909997</v>
      </c>
      <c r="AL57" t="s">
        <v>370</v>
      </c>
      <c r="AM57">
        <v>79</v>
      </c>
      <c r="AN57">
        <v>61</v>
      </c>
      <c r="AO57">
        <v>169.3606557377</v>
      </c>
      <c r="AP57">
        <v>25</v>
      </c>
      <c r="AQ57">
        <v>367.04</v>
      </c>
      <c r="AR57">
        <v>17</v>
      </c>
      <c r="AS57">
        <v>169.1764705882</v>
      </c>
      <c r="AT57">
        <v>1</v>
      </c>
      <c r="AU57">
        <v>563</v>
      </c>
    </row>
    <row r="58" spans="6:51" x14ac:dyDescent="0.2">
      <c r="F58" t="s">
        <v>69</v>
      </c>
      <c r="G58">
        <v>14752</v>
      </c>
      <c r="H58">
        <v>10958</v>
      </c>
      <c r="I58">
        <v>374.36375250959998</v>
      </c>
      <c r="J58">
        <v>739</v>
      </c>
      <c r="K58">
        <v>767.32611637349999</v>
      </c>
      <c r="L58">
        <v>3263</v>
      </c>
      <c r="M58">
        <v>656.10021452650005</v>
      </c>
      <c r="N58">
        <v>530</v>
      </c>
      <c r="O58">
        <v>404.2849056604</v>
      </c>
      <c r="R58">
        <v>1</v>
      </c>
      <c r="S58">
        <v>484</v>
      </c>
      <c r="V58" t="s">
        <v>414</v>
      </c>
      <c r="W58">
        <v>598</v>
      </c>
      <c r="X58">
        <v>492</v>
      </c>
      <c r="Y58">
        <v>237.4268292683</v>
      </c>
      <c r="Z58">
        <v>55</v>
      </c>
      <c r="AA58">
        <v>445</v>
      </c>
      <c r="AB58">
        <v>38</v>
      </c>
      <c r="AC58">
        <v>265.42105263159999</v>
      </c>
      <c r="AD58">
        <v>36</v>
      </c>
      <c r="AE58">
        <v>242.9166666667</v>
      </c>
      <c r="AF58">
        <v>31</v>
      </c>
      <c r="AG58">
        <v>181.935483871</v>
      </c>
      <c r="AH58">
        <v>1</v>
      </c>
      <c r="AI58">
        <v>551</v>
      </c>
      <c r="AL58" t="s">
        <v>414</v>
      </c>
      <c r="AM58">
        <v>6</v>
      </c>
      <c r="AN58">
        <v>5</v>
      </c>
      <c r="AO58">
        <v>158.6</v>
      </c>
      <c r="AP58">
        <v>1</v>
      </c>
      <c r="AQ58">
        <v>117</v>
      </c>
      <c r="AR58">
        <v>1</v>
      </c>
      <c r="AS58">
        <v>89</v>
      </c>
    </row>
    <row r="59" spans="6:51" x14ac:dyDescent="0.2">
      <c r="F59" t="s">
        <v>44</v>
      </c>
      <c r="G59">
        <v>1409</v>
      </c>
      <c r="H59">
        <v>971</v>
      </c>
      <c r="I59">
        <v>266.658084449</v>
      </c>
      <c r="J59">
        <v>160</v>
      </c>
      <c r="K59">
        <v>435.82499999999999</v>
      </c>
      <c r="L59">
        <v>294</v>
      </c>
      <c r="M59">
        <v>234.5816326531</v>
      </c>
      <c r="N59">
        <v>141</v>
      </c>
      <c r="O59">
        <v>291.43262411350003</v>
      </c>
      <c r="R59">
        <v>3</v>
      </c>
      <c r="S59">
        <v>231.6666666667</v>
      </c>
      <c r="V59" t="s">
        <v>378</v>
      </c>
      <c r="W59">
        <v>2443</v>
      </c>
      <c r="X59">
        <v>1674</v>
      </c>
      <c r="Y59">
        <v>349.93010752689997</v>
      </c>
      <c r="Z59">
        <v>279</v>
      </c>
      <c r="AA59">
        <v>447.47311827959999</v>
      </c>
      <c r="AB59">
        <v>139</v>
      </c>
      <c r="AC59">
        <v>267.52517985610001</v>
      </c>
      <c r="AD59">
        <v>509</v>
      </c>
      <c r="AE59">
        <v>551.71850393700004</v>
      </c>
      <c r="AF59">
        <v>115</v>
      </c>
      <c r="AG59">
        <v>201.09565217389999</v>
      </c>
      <c r="AH59">
        <v>6</v>
      </c>
      <c r="AI59">
        <v>502.1666666667</v>
      </c>
      <c r="AL59" t="s">
        <v>378</v>
      </c>
      <c r="AM59">
        <v>39</v>
      </c>
      <c r="AN59">
        <v>31</v>
      </c>
      <c r="AO59">
        <v>292.19354838710001</v>
      </c>
      <c r="AP59">
        <v>14</v>
      </c>
      <c r="AQ59">
        <v>267.28571428570001</v>
      </c>
      <c r="AR59">
        <v>7</v>
      </c>
      <c r="AS59">
        <v>136.1428571429</v>
      </c>
      <c r="AV59">
        <v>1</v>
      </c>
      <c r="AW59">
        <v>320</v>
      </c>
    </row>
    <row r="60" spans="6:51" x14ac:dyDescent="0.2">
      <c r="F60" t="s">
        <v>60</v>
      </c>
      <c r="G60">
        <v>3307</v>
      </c>
      <c r="H60">
        <v>2662</v>
      </c>
      <c r="I60">
        <v>270.88955672430001</v>
      </c>
      <c r="J60">
        <v>326</v>
      </c>
      <c r="K60">
        <v>623.15030674850004</v>
      </c>
      <c r="L60">
        <v>333</v>
      </c>
      <c r="M60">
        <v>184.2552552553</v>
      </c>
      <c r="N60">
        <v>311</v>
      </c>
      <c r="O60">
        <v>634.56270096460003</v>
      </c>
      <c r="R60">
        <v>1</v>
      </c>
      <c r="S60">
        <v>103</v>
      </c>
      <c r="V60" t="s">
        <v>381</v>
      </c>
      <c r="W60">
        <v>9389</v>
      </c>
      <c r="X60">
        <v>6769</v>
      </c>
      <c r="Y60">
        <v>259.20845028809998</v>
      </c>
      <c r="Z60">
        <v>1177</v>
      </c>
      <c r="AA60">
        <v>445.21240441800001</v>
      </c>
      <c r="AB60">
        <v>1237</v>
      </c>
      <c r="AC60">
        <v>208.11398544869999</v>
      </c>
      <c r="AD60">
        <v>820</v>
      </c>
      <c r="AE60">
        <v>347.04024390239999</v>
      </c>
      <c r="AF60">
        <v>542</v>
      </c>
      <c r="AG60">
        <v>181</v>
      </c>
      <c r="AH60">
        <v>21</v>
      </c>
      <c r="AI60">
        <v>274.76190476189998</v>
      </c>
      <c r="AL60" t="s">
        <v>381</v>
      </c>
      <c r="AM60">
        <v>148</v>
      </c>
      <c r="AN60">
        <v>105</v>
      </c>
      <c r="AO60">
        <v>208.8571428571</v>
      </c>
      <c r="AP60">
        <v>66</v>
      </c>
      <c r="AQ60">
        <v>375.22727272729998</v>
      </c>
      <c r="AR60">
        <v>34</v>
      </c>
      <c r="AS60">
        <v>142.0588235294</v>
      </c>
      <c r="AT60">
        <v>9</v>
      </c>
      <c r="AU60">
        <v>290.44444444440001</v>
      </c>
    </row>
    <row r="61" spans="6:51" x14ac:dyDescent="0.2">
      <c r="F61" t="s">
        <v>33</v>
      </c>
      <c r="G61">
        <v>4852</v>
      </c>
      <c r="H61">
        <v>4096</v>
      </c>
      <c r="I61">
        <v>557.0302734375</v>
      </c>
      <c r="J61">
        <v>398</v>
      </c>
      <c r="K61">
        <v>971.61306532660001</v>
      </c>
      <c r="L61">
        <v>408</v>
      </c>
      <c r="M61">
        <v>689.1838235294</v>
      </c>
      <c r="N61">
        <v>335</v>
      </c>
      <c r="O61">
        <v>653.63473053890004</v>
      </c>
      <c r="R61">
        <v>13</v>
      </c>
      <c r="S61">
        <v>618.92307692309998</v>
      </c>
      <c r="V61" t="s">
        <v>413</v>
      </c>
      <c r="W61">
        <v>600</v>
      </c>
      <c r="X61">
        <v>405</v>
      </c>
      <c r="Y61">
        <v>430.80493827160001</v>
      </c>
      <c r="Z61">
        <v>34</v>
      </c>
      <c r="AA61">
        <v>760.02941176469994</v>
      </c>
      <c r="AB61">
        <v>133</v>
      </c>
      <c r="AC61">
        <v>690.49624060149995</v>
      </c>
      <c r="AD61">
        <v>36</v>
      </c>
      <c r="AE61">
        <v>523.11111111109994</v>
      </c>
      <c r="AF61">
        <v>26</v>
      </c>
      <c r="AG61">
        <v>129.8461538462</v>
      </c>
      <c r="AL61" t="s">
        <v>413</v>
      </c>
      <c r="AM61">
        <v>7</v>
      </c>
      <c r="AN61">
        <v>4</v>
      </c>
      <c r="AO61">
        <v>239.25</v>
      </c>
      <c r="AP61">
        <v>6</v>
      </c>
      <c r="AQ61">
        <v>424.6666666667</v>
      </c>
      <c r="AR61">
        <v>2</v>
      </c>
      <c r="AS61">
        <v>189.5</v>
      </c>
      <c r="AT61">
        <v>1</v>
      </c>
      <c r="AU61">
        <v>228</v>
      </c>
    </row>
    <row r="62" spans="6:51" x14ac:dyDescent="0.2">
      <c r="F62" t="s">
        <v>47</v>
      </c>
      <c r="G62">
        <v>2589</v>
      </c>
      <c r="H62">
        <v>1797</v>
      </c>
      <c r="I62">
        <v>363.3923205342</v>
      </c>
      <c r="J62">
        <v>310</v>
      </c>
      <c r="K62">
        <v>444.80645161289999</v>
      </c>
      <c r="L62">
        <v>282</v>
      </c>
      <c r="M62">
        <v>544.82624113479994</v>
      </c>
      <c r="N62">
        <v>503</v>
      </c>
      <c r="O62">
        <v>543.72111553779996</v>
      </c>
      <c r="R62">
        <v>7</v>
      </c>
      <c r="S62">
        <v>448.14285714290003</v>
      </c>
      <c r="V62" t="s">
        <v>368</v>
      </c>
      <c r="W62">
        <v>56729</v>
      </c>
      <c r="X62">
        <v>40011</v>
      </c>
      <c r="Y62">
        <v>363.55398650339998</v>
      </c>
      <c r="Z62">
        <v>5197</v>
      </c>
      <c r="AA62">
        <v>543.74061958820005</v>
      </c>
      <c r="AB62">
        <v>9333</v>
      </c>
      <c r="AC62">
        <v>482.36826315230002</v>
      </c>
      <c r="AD62">
        <v>4991</v>
      </c>
      <c r="AE62">
        <v>534.90980156340004</v>
      </c>
      <c r="AF62">
        <v>2258</v>
      </c>
      <c r="AG62">
        <v>172.9964570416</v>
      </c>
      <c r="AH62">
        <v>136</v>
      </c>
      <c r="AI62">
        <v>473.7279411765</v>
      </c>
      <c r="AL62" t="s">
        <v>368</v>
      </c>
      <c r="AM62">
        <v>964</v>
      </c>
      <c r="AN62">
        <v>700</v>
      </c>
      <c r="AO62">
        <v>195.1585714286</v>
      </c>
      <c r="AP62">
        <v>371</v>
      </c>
      <c r="AQ62">
        <v>371.44204851749998</v>
      </c>
      <c r="AR62">
        <v>204</v>
      </c>
      <c r="AS62">
        <v>147.7598039216</v>
      </c>
      <c r="AT62">
        <v>57</v>
      </c>
      <c r="AU62">
        <v>331.89473684209997</v>
      </c>
      <c r="AV62">
        <v>2</v>
      </c>
      <c r="AW62">
        <v>2873.5</v>
      </c>
      <c r="AX62">
        <v>1</v>
      </c>
      <c r="AY62">
        <v>348</v>
      </c>
    </row>
    <row r="63" spans="6:51" x14ac:dyDescent="0.2">
      <c r="F63" t="s">
        <v>54</v>
      </c>
      <c r="G63">
        <v>576</v>
      </c>
      <c r="H63">
        <v>502</v>
      </c>
      <c r="I63">
        <v>238.75697211159999</v>
      </c>
      <c r="J63">
        <v>75</v>
      </c>
      <c r="K63">
        <v>475.6533333333</v>
      </c>
      <c r="L63">
        <v>32</v>
      </c>
      <c r="M63">
        <v>75.5625</v>
      </c>
      <c r="N63">
        <v>41</v>
      </c>
      <c r="O63">
        <v>205.1219512195</v>
      </c>
      <c r="R63">
        <v>1</v>
      </c>
      <c r="S63">
        <v>551</v>
      </c>
      <c r="V63" t="s">
        <v>697</v>
      </c>
      <c r="W63">
        <v>312533</v>
      </c>
      <c r="X63">
        <v>228074</v>
      </c>
      <c r="Y63">
        <v>411.87293646170002</v>
      </c>
      <c r="Z63">
        <v>30135</v>
      </c>
      <c r="AA63">
        <v>569.69036004650002</v>
      </c>
      <c r="AB63">
        <v>50370</v>
      </c>
      <c r="AC63">
        <v>535.47355568789999</v>
      </c>
      <c r="AD63">
        <v>22169</v>
      </c>
      <c r="AE63">
        <v>506.34371192639998</v>
      </c>
      <c r="AF63">
        <v>11339</v>
      </c>
      <c r="AG63">
        <v>176.6599929441</v>
      </c>
      <c r="AH63">
        <v>581</v>
      </c>
      <c r="AI63">
        <v>451.50430292599998</v>
      </c>
      <c r="AL63" t="s">
        <v>697</v>
      </c>
      <c r="AM63">
        <v>5097</v>
      </c>
      <c r="AN63">
        <v>3605</v>
      </c>
      <c r="AO63">
        <v>267.70929264910001</v>
      </c>
      <c r="AP63">
        <v>1470</v>
      </c>
      <c r="AQ63">
        <v>391.19387755100001</v>
      </c>
      <c r="AR63">
        <v>1297</v>
      </c>
      <c r="AS63">
        <v>238.4919043948</v>
      </c>
      <c r="AT63">
        <v>191</v>
      </c>
      <c r="AU63">
        <v>303.02617801050002</v>
      </c>
      <c r="AV63">
        <v>3</v>
      </c>
      <c r="AW63">
        <v>1916</v>
      </c>
      <c r="AX63">
        <v>1</v>
      </c>
      <c r="AY63">
        <v>348</v>
      </c>
    </row>
    <row r="64" spans="6:51" x14ac:dyDescent="0.2">
      <c r="F64" t="s">
        <v>65</v>
      </c>
      <c r="G64">
        <v>4931</v>
      </c>
      <c r="H64">
        <v>4035</v>
      </c>
      <c r="I64">
        <v>549.85452292440004</v>
      </c>
      <c r="J64">
        <v>210</v>
      </c>
      <c r="K64">
        <v>1155.9571428571001</v>
      </c>
      <c r="L64">
        <v>116</v>
      </c>
      <c r="M64">
        <v>712.71551724139999</v>
      </c>
      <c r="N64">
        <v>769</v>
      </c>
      <c r="O64">
        <v>901.53576072819999</v>
      </c>
      <c r="R64">
        <v>11</v>
      </c>
      <c r="S64">
        <v>661.36363636359999</v>
      </c>
    </row>
    <row r="65" spans="6:19" x14ac:dyDescent="0.2">
      <c r="F65" t="s">
        <v>67</v>
      </c>
      <c r="G65">
        <v>1132</v>
      </c>
      <c r="H65">
        <v>646</v>
      </c>
      <c r="I65">
        <v>502.31578947370002</v>
      </c>
      <c r="J65">
        <v>299</v>
      </c>
      <c r="K65">
        <v>491.4949832776</v>
      </c>
      <c r="L65">
        <v>343</v>
      </c>
      <c r="M65">
        <v>1032.3586005831</v>
      </c>
      <c r="N65">
        <v>142</v>
      </c>
      <c r="O65">
        <v>672.73239436619997</v>
      </c>
      <c r="R65">
        <v>1</v>
      </c>
      <c r="S65">
        <v>271</v>
      </c>
    </row>
    <row r="66" spans="6:19" x14ac:dyDescent="0.2">
      <c r="F66" t="s">
        <v>82</v>
      </c>
      <c r="G66">
        <v>154</v>
      </c>
      <c r="H66">
        <v>32</v>
      </c>
      <c r="I66">
        <v>1039.625</v>
      </c>
      <c r="J66">
        <v>10</v>
      </c>
      <c r="K66">
        <v>1240.2</v>
      </c>
      <c r="L66">
        <v>54</v>
      </c>
      <c r="M66">
        <v>779.98148148150005</v>
      </c>
      <c r="N66">
        <v>65</v>
      </c>
      <c r="O66">
        <v>625.66153846149996</v>
      </c>
      <c r="R66">
        <v>3</v>
      </c>
      <c r="S66">
        <v>531.33333333329995</v>
      </c>
    </row>
    <row r="67" spans="6:19" x14ac:dyDescent="0.2">
      <c r="F67" t="s">
        <v>63</v>
      </c>
      <c r="G67">
        <v>5842</v>
      </c>
      <c r="H67">
        <v>3886</v>
      </c>
      <c r="I67">
        <v>298.09135357690002</v>
      </c>
      <c r="J67">
        <v>696</v>
      </c>
      <c r="K67">
        <v>388.9827586207</v>
      </c>
      <c r="L67">
        <v>1266</v>
      </c>
      <c r="M67">
        <v>359.11295418639997</v>
      </c>
      <c r="N67">
        <v>659</v>
      </c>
      <c r="O67">
        <v>619.01669195750003</v>
      </c>
      <c r="R67">
        <v>31</v>
      </c>
      <c r="S67">
        <v>460.19354838710001</v>
      </c>
    </row>
    <row r="68" spans="6:19" x14ac:dyDescent="0.2">
      <c r="F68" t="s">
        <v>429</v>
      </c>
      <c r="G68">
        <v>34</v>
      </c>
      <c r="H68">
        <v>13</v>
      </c>
      <c r="I68">
        <v>512.92307692309998</v>
      </c>
      <c r="J68">
        <v>2</v>
      </c>
      <c r="K68">
        <v>646.5</v>
      </c>
      <c r="L68">
        <v>6</v>
      </c>
      <c r="M68">
        <v>980.66666666670005</v>
      </c>
      <c r="N68">
        <v>13</v>
      </c>
      <c r="O68">
        <v>378.07692307690002</v>
      </c>
      <c r="R68">
        <v>2</v>
      </c>
      <c r="S68">
        <v>464.5</v>
      </c>
    </row>
    <row r="69" spans="6:19" x14ac:dyDescent="0.2">
      <c r="F69" t="s">
        <v>83</v>
      </c>
      <c r="G69">
        <v>8527</v>
      </c>
      <c r="H69">
        <v>6567</v>
      </c>
      <c r="I69">
        <v>242.0016750419</v>
      </c>
      <c r="J69">
        <v>1142</v>
      </c>
      <c r="K69">
        <v>433.67950963219999</v>
      </c>
      <c r="L69">
        <v>1133</v>
      </c>
      <c r="M69">
        <v>149.9558693733</v>
      </c>
      <c r="N69">
        <v>807</v>
      </c>
      <c r="O69">
        <v>336.54522924410003</v>
      </c>
      <c r="R69">
        <v>20</v>
      </c>
      <c r="S69">
        <v>282.3</v>
      </c>
    </row>
    <row r="70" spans="6:19" x14ac:dyDescent="0.2">
      <c r="F70" t="s">
        <v>135</v>
      </c>
      <c r="G70">
        <v>168</v>
      </c>
      <c r="H70">
        <v>135</v>
      </c>
      <c r="I70">
        <v>416.3703703704</v>
      </c>
      <c r="J70">
        <v>82</v>
      </c>
      <c r="K70">
        <v>612.78048780489996</v>
      </c>
      <c r="L70">
        <v>4</v>
      </c>
      <c r="M70">
        <v>607</v>
      </c>
      <c r="N70">
        <v>26</v>
      </c>
      <c r="O70">
        <v>455.69230769230001</v>
      </c>
      <c r="R70">
        <v>3</v>
      </c>
      <c r="S70">
        <v>262.6666666667</v>
      </c>
    </row>
    <row r="71" spans="6:19" x14ac:dyDescent="0.2">
      <c r="F71" t="s">
        <v>368</v>
      </c>
      <c r="G71">
        <v>56997</v>
      </c>
      <c r="H71">
        <v>42112</v>
      </c>
      <c r="I71">
        <v>375.02529030419998</v>
      </c>
      <c r="J71">
        <v>5563</v>
      </c>
      <c r="K71">
        <v>557.69081430879999</v>
      </c>
      <c r="L71">
        <v>9333</v>
      </c>
      <c r="M71">
        <v>480.3885138755</v>
      </c>
      <c r="N71">
        <v>5411</v>
      </c>
      <c r="O71">
        <v>565.29229062670004</v>
      </c>
      <c r="R71">
        <v>141</v>
      </c>
      <c r="S71">
        <v>477.82978723399998</v>
      </c>
    </row>
    <row r="72" spans="6:19" x14ac:dyDescent="0.2">
      <c r="F72" t="s">
        <v>697</v>
      </c>
      <c r="G72">
        <v>317630</v>
      </c>
      <c r="H72">
        <v>231679</v>
      </c>
      <c r="I72">
        <v>409.62963586450002</v>
      </c>
      <c r="J72">
        <v>31605</v>
      </c>
      <c r="K72">
        <v>561.3881980699</v>
      </c>
      <c r="L72">
        <v>51667</v>
      </c>
      <c r="M72">
        <v>528.01840633289999</v>
      </c>
      <c r="N72">
        <v>22360</v>
      </c>
      <c r="O72">
        <v>504.6063439513</v>
      </c>
      <c r="P72">
        <v>11342</v>
      </c>
      <c r="Q72">
        <v>177.12009522970001</v>
      </c>
      <c r="R72">
        <v>582</v>
      </c>
      <c r="S72">
        <v>451.32646048110001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493</v>
      </c>
      <c r="B1" t="s">
        <v>365</v>
      </c>
      <c r="C1" t="s">
        <v>492</v>
      </c>
      <c r="D1" t="s">
        <v>494</v>
      </c>
      <c r="E1" t="s">
        <v>495</v>
      </c>
      <c r="F1" t="s">
        <v>496</v>
      </c>
      <c r="G1" t="s">
        <v>497</v>
      </c>
      <c r="H1" t="s">
        <v>498</v>
      </c>
      <c r="I1" t="s">
        <v>499</v>
      </c>
      <c r="J1" t="s">
        <v>500</v>
      </c>
      <c r="K1" t="s">
        <v>501</v>
      </c>
      <c r="L1" t="s">
        <v>366</v>
      </c>
      <c r="M1" t="s">
        <v>502</v>
      </c>
      <c r="N1" t="s">
        <v>503</v>
      </c>
      <c r="O1" t="s">
        <v>504</v>
      </c>
      <c r="P1" t="s">
        <v>505</v>
      </c>
      <c r="Q1" t="s">
        <v>506</v>
      </c>
      <c r="R1" t="s">
        <v>677</v>
      </c>
    </row>
    <row r="2" spans="1:18" x14ac:dyDescent="0.2">
      <c r="A2">
        <v>1</v>
      </c>
      <c r="B2">
        <v>-99</v>
      </c>
      <c r="C2" t="s">
        <v>436</v>
      </c>
      <c r="D2" t="s">
        <v>697</v>
      </c>
      <c r="E2" t="s">
        <v>436</v>
      </c>
      <c r="F2" t="s">
        <v>697</v>
      </c>
      <c r="G2" t="s">
        <v>436</v>
      </c>
      <c r="H2" t="s">
        <v>6</v>
      </c>
      <c r="I2">
        <v>-99</v>
      </c>
      <c r="J2">
        <v>1</v>
      </c>
      <c r="K2" t="s">
        <v>6</v>
      </c>
      <c r="L2">
        <v>-99</v>
      </c>
      <c r="M2" t="s">
        <v>653</v>
      </c>
      <c r="N2" t="s">
        <v>653</v>
      </c>
      <c r="O2">
        <v>-99</v>
      </c>
      <c r="P2">
        <v>-99</v>
      </c>
      <c r="Q2">
        <v>1</v>
      </c>
      <c r="R2" t="s">
        <v>653</v>
      </c>
    </row>
    <row r="3" spans="1:18" x14ac:dyDescent="0.2">
      <c r="A3">
        <v>2</v>
      </c>
      <c r="B3">
        <v>-99</v>
      </c>
      <c r="C3" t="s">
        <v>437</v>
      </c>
      <c r="D3" t="s">
        <v>6</v>
      </c>
      <c r="E3" t="s">
        <v>437</v>
      </c>
      <c r="F3" t="s">
        <v>1034</v>
      </c>
      <c r="G3" t="s">
        <v>436</v>
      </c>
      <c r="H3" t="s">
        <v>6</v>
      </c>
      <c r="I3">
        <v>-99</v>
      </c>
      <c r="J3">
        <v>1</v>
      </c>
      <c r="K3" t="s">
        <v>6</v>
      </c>
      <c r="L3">
        <v>-99</v>
      </c>
      <c r="M3" t="s">
        <v>653</v>
      </c>
      <c r="N3" t="s">
        <v>653</v>
      </c>
      <c r="O3">
        <v>-99</v>
      </c>
      <c r="P3">
        <v>-99</v>
      </c>
      <c r="Q3">
        <v>1</v>
      </c>
      <c r="R3" t="s">
        <v>653</v>
      </c>
    </row>
    <row r="4" spans="1:18" x14ac:dyDescent="0.2">
      <c r="A4">
        <v>3</v>
      </c>
      <c r="B4">
        <v>-99</v>
      </c>
      <c r="C4" t="s">
        <v>654</v>
      </c>
      <c r="D4" t="s">
        <v>6</v>
      </c>
      <c r="E4" t="s">
        <v>654</v>
      </c>
      <c r="F4" t="s">
        <v>1036</v>
      </c>
      <c r="G4" t="s">
        <v>436</v>
      </c>
      <c r="H4" t="s">
        <v>6</v>
      </c>
      <c r="I4">
        <v>-99</v>
      </c>
      <c r="J4">
        <v>1</v>
      </c>
      <c r="K4" t="s">
        <v>6</v>
      </c>
      <c r="L4">
        <v>-99</v>
      </c>
      <c r="M4" t="s">
        <v>653</v>
      </c>
      <c r="N4" t="s">
        <v>653</v>
      </c>
      <c r="O4">
        <v>-99</v>
      </c>
      <c r="P4">
        <v>-99</v>
      </c>
      <c r="Q4">
        <v>1</v>
      </c>
      <c r="R4" t="s">
        <v>208</v>
      </c>
    </row>
    <row r="5" spans="1:18" x14ac:dyDescent="0.2">
      <c r="A5">
        <v>4</v>
      </c>
      <c r="B5">
        <v>-99</v>
      </c>
      <c r="C5" t="s">
        <v>438</v>
      </c>
      <c r="D5" t="s">
        <v>6</v>
      </c>
      <c r="E5" t="s">
        <v>438</v>
      </c>
      <c r="F5" t="s">
        <v>1042</v>
      </c>
      <c r="G5" t="s">
        <v>436</v>
      </c>
      <c r="H5" t="s">
        <v>6</v>
      </c>
      <c r="I5">
        <v>-99</v>
      </c>
      <c r="J5">
        <v>1</v>
      </c>
      <c r="K5" t="s">
        <v>6</v>
      </c>
      <c r="L5">
        <v>-99</v>
      </c>
      <c r="M5" t="s">
        <v>653</v>
      </c>
      <c r="N5" t="s">
        <v>653</v>
      </c>
      <c r="O5">
        <v>-99</v>
      </c>
      <c r="P5">
        <v>-99</v>
      </c>
      <c r="Q5">
        <v>1</v>
      </c>
      <c r="R5" t="s">
        <v>682</v>
      </c>
    </row>
    <row r="6" spans="1:18" x14ac:dyDescent="0.2">
      <c r="A6">
        <v>5</v>
      </c>
      <c r="B6">
        <v>-99</v>
      </c>
      <c r="C6" t="s">
        <v>439</v>
      </c>
      <c r="D6" t="s">
        <v>6</v>
      </c>
      <c r="E6" t="s">
        <v>439</v>
      </c>
      <c r="F6" t="s">
        <v>694</v>
      </c>
      <c r="G6" t="s">
        <v>436</v>
      </c>
      <c r="H6" t="s">
        <v>6</v>
      </c>
      <c r="I6">
        <v>-99</v>
      </c>
      <c r="J6">
        <v>1</v>
      </c>
      <c r="K6" t="s">
        <v>6</v>
      </c>
      <c r="L6">
        <v>-99</v>
      </c>
      <c r="M6" t="s">
        <v>653</v>
      </c>
      <c r="N6" t="s">
        <v>653</v>
      </c>
      <c r="O6">
        <v>-99</v>
      </c>
      <c r="P6">
        <v>-99</v>
      </c>
      <c r="Q6">
        <v>1</v>
      </c>
      <c r="R6" t="s">
        <v>678</v>
      </c>
    </row>
    <row r="7" spans="1:18" x14ac:dyDescent="0.2">
      <c r="A7">
        <v>6</v>
      </c>
      <c r="B7">
        <v>-99</v>
      </c>
      <c r="C7" t="s">
        <v>440</v>
      </c>
      <c r="D7" t="s">
        <v>6</v>
      </c>
      <c r="E7" t="s">
        <v>440</v>
      </c>
      <c r="F7" t="s">
        <v>1037</v>
      </c>
      <c r="G7" t="s">
        <v>436</v>
      </c>
      <c r="H7" t="s">
        <v>6</v>
      </c>
      <c r="I7">
        <v>-99</v>
      </c>
      <c r="J7">
        <v>1</v>
      </c>
      <c r="K7" t="s">
        <v>6</v>
      </c>
      <c r="L7">
        <v>-99</v>
      </c>
      <c r="M7" t="s">
        <v>653</v>
      </c>
      <c r="N7" t="s">
        <v>653</v>
      </c>
      <c r="O7">
        <v>-99</v>
      </c>
      <c r="P7">
        <v>-99</v>
      </c>
      <c r="Q7">
        <v>1</v>
      </c>
      <c r="R7" t="s">
        <v>679</v>
      </c>
    </row>
    <row r="8" spans="1:18" x14ac:dyDescent="0.2">
      <c r="A8">
        <v>7</v>
      </c>
      <c r="B8">
        <v>-99</v>
      </c>
      <c r="C8" t="s">
        <v>441</v>
      </c>
      <c r="D8" t="s">
        <v>6</v>
      </c>
      <c r="E8" t="s">
        <v>441</v>
      </c>
      <c r="F8" t="s">
        <v>1043</v>
      </c>
      <c r="G8" t="s">
        <v>436</v>
      </c>
      <c r="H8" t="s">
        <v>6</v>
      </c>
      <c r="I8">
        <v>-99</v>
      </c>
      <c r="J8">
        <v>1</v>
      </c>
      <c r="K8" t="s">
        <v>6</v>
      </c>
      <c r="L8">
        <v>-99</v>
      </c>
      <c r="M8" t="s">
        <v>653</v>
      </c>
      <c r="N8" t="s">
        <v>653</v>
      </c>
      <c r="O8">
        <v>-99</v>
      </c>
      <c r="P8">
        <v>-99</v>
      </c>
      <c r="Q8">
        <v>1</v>
      </c>
      <c r="R8" t="s">
        <v>680</v>
      </c>
    </row>
    <row r="9" spans="1:18" x14ac:dyDescent="0.2">
      <c r="A9">
        <v>8</v>
      </c>
      <c r="B9">
        <v>-99</v>
      </c>
      <c r="C9" t="s">
        <v>442</v>
      </c>
      <c r="D9" t="s">
        <v>6</v>
      </c>
      <c r="E9" t="s">
        <v>442</v>
      </c>
      <c r="F9" t="s">
        <v>1044</v>
      </c>
      <c r="G9" t="s">
        <v>436</v>
      </c>
      <c r="H9" t="s">
        <v>6</v>
      </c>
      <c r="I9">
        <v>-99</v>
      </c>
      <c r="J9">
        <v>1</v>
      </c>
      <c r="K9" t="s">
        <v>6</v>
      </c>
      <c r="L9">
        <v>-99</v>
      </c>
      <c r="M9" t="s">
        <v>653</v>
      </c>
      <c r="N9" t="s">
        <v>653</v>
      </c>
      <c r="O9">
        <v>-99</v>
      </c>
      <c r="P9">
        <v>-99</v>
      </c>
      <c r="Q9">
        <v>1</v>
      </c>
      <c r="R9" t="s">
        <v>397</v>
      </c>
    </row>
    <row r="10" spans="1:18" x14ac:dyDescent="0.2">
      <c r="A10">
        <v>9</v>
      </c>
      <c r="B10">
        <v>-99</v>
      </c>
      <c r="C10" t="s">
        <v>443</v>
      </c>
      <c r="D10" t="s">
        <v>6</v>
      </c>
      <c r="E10" t="s">
        <v>443</v>
      </c>
      <c r="F10" t="s">
        <v>1045</v>
      </c>
      <c r="G10" t="s">
        <v>436</v>
      </c>
      <c r="H10" t="s">
        <v>6</v>
      </c>
      <c r="I10">
        <v>-99</v>
      </c>
      <c r="J10">
        <v>1</v>
      </c>
      <c r="K10" t="s">
        <v>6</v>
      </c>
      <c r="L10">
        <v>-99</v>
      </c>
      <c r="M10" t="s">
        <v>653</v>
      </c>
      <c r="N10" t="s">
        <v>653</v>
      </c>
      <c r="O10">
        <v>-99</v>
      </c>
      <c r="P10">
        <v>-99</v>
      </c>
      <c r="Q10">
        <v>1</v>
      </c>
      <c r="R10" t="s">
        <v>683</v>
      </c>
    </row>
    <row r="11" spans="1:18" x14ac:dyDescent="0.2">
      <c r="A11">
        <v>10</v>
      </c>
      <c r="B11">
        <v>-99</v>
      </c>
      <c r="C11" t="s">
        <v>444</v>
      </c>
      <c r="D11" t="s">
        <v>6</v>
      </c>
      <c r="E11" t="s">
        <v>444</v>
      </c>
      <c r="F11" t="s">
        <v>1046</v>
      </c>
      <c r="G11" t="s">
        <v>436</v>
      </c>
      <c r="H11" t="s">
        <v>6</v>
      </c>
      <c r="I11">
        <v>-99</v>
      </c>
      <c r="J11">
        <v>1</v>
      </c>
      <c r="K11" t="s">
        <v>6</v>
      </c>
      <c r="L11">
        <v>-99</v>
      </c>
      <c r="M11" t="s">
        <v>653</v>
      </c>
      <c r="N11" t="s">
        <v>653</v>
      </c>
      <c r="O11">
        <v>-99</v>
      </c>
      <c r="P11">
        <v>-99</v>
      </c>
      <c r="Q11">
        <v>1</v>
      </c>
      <c r="R11" t="s">
        <v>653</v>
      </c>
    </row>
    <row r="12" spans="1:18" x14ac:dyDescent="0.2">
      <c r="A12">
        <v>11</v>
      </c>
      <c r="B12">
        <v>-99</v>
      </c>
      <c r="C12" t="s">
        <v>446</v>
      </c>
      <c r="D12" t="s">
        <v>507</v>
      </c>
      <c r="E12" t="s">
        <v>655</v>
      </c>
      <c r="F12" t="s">
        <v>129</v>
      </c>
      <c r="G12" t="s">
        <v>655</v>
      </c>
      <c r="H12" t="s">
        <v>369</v>
      </c>
      <c r="I12">
        <v>-99</v>
      </c>
      <c r="J12">
        <v>-99</v>
      </c>
      <c r="K12" t="s">
        <v>653</v>
      </c>
      <c r="L12">
        <v>-99</v>
      </c>
      <c r="M12" t="s">
        <v>653</v>
      </c>
      <c r="N12" t="s">
        <v>653</v>
      </c>
      <c r="O12">
        <v>-99</v>
      </c>
      <c r="P12">
        <v>-99</v>
      </c>
      <c r="Q12">
        <v>2</v>
      </c>
      <c r="R12" t="s">
        <v>653</v>
      </c>
    </row>
    <row r="13" spans="1:18" x14ac:dyDescent="0.2">
      <c r="A13">
        <v>12</v>
      </c>
      <c r="B13">
        <v>-99</v>
      </c>
      <c r="C13" t="s">
        <v>448</v>
      </c>
      <c r="D13" t="s">
        <v>507</v>
      </c>
      <c r="E13" t="s">
        <v>656</v>
      </c>
      <c r="F13" t="s">
        <v>130</v>
      </c>
      <c r="G13" t="s">
        <v>656</v>
      </c>
      <c r="H13" t="s">
        <v>376</v>
      </c>
      <c r="I13">
        <v>-99</v>
      </c>
      <c r="J13">
        <v>-99</v>
      </c>
      <c r="K13" t="s">
        <v>653</v>
      </c>
      <c r="L13">
        <v>-99</v>
      </c>
      <c r="M13" t="s">
        <v>653</v>
      </c>
      <c r="N13" t="s">
        <v>653</v>
      </c>
      <c r="O13">
        <v>-99</v>
      </c>
      <c r="P13">
        <v>-99</v>
      </c>
      <c r="Q13">
        <v>2</v>
      </c>
      <c r="R13" t="s">
        <v>653</v>
      </c>
    </row>
    <row r="14" spans="1:18" x14ac:dyDescent="0.2">
      <c r="A14">
        <v>13</v>
      </c>
      <c r="B14">
        <v>-99</v>
      </c>
      <c r="C14" t="s">
        <v>451</v>
      </c>
      <c r="D14" t="s">
        <v>507</v>
      </c>
      <c r="E14" t="s">
        <v>657</v>
      </c>
      <c r="F14" t="s">
        <v>131</v>
      </c>
      <c r="G14" t="s">
        <v>657</v>
      </c>
      <c r="H14" t="s">
        <v>385</v>
      </c>
      <c r="I14">
        <v>-99</v>
      </c>
      <c r="J14">
        <v>-99</v>
      </c>
      <c r="K14" t="s">
        <v>653</v>
      </c>
      <c r="L14">
        <v>-99</v>
      </c>
      <c r="M14" t="s">
        <v>653</v>
      </c>
      <c r="N14" t="s">
        <v>653</v>
      </c>
      <c r="O14">
        <v>-99</v>
      </c>
      <c r="P14">
        <v>-99</v>
      </c>
      <c r="Q14">
        <v>2</v>
      </c>
      <c r="R14" t="s">
        <v>653</v>
      </c>
    </row>
    <row r="15" spans="1:18" x14ac:dyDescent="0.2">
      <c r="A15">
        <v>14</v>
      </c>
      <c r="B15">
        <v>-99</v>
      </c>
      <c r="C15" t="s">
        <v>658</v>
      </c>
      <c r="D15" t="s">
        <v>507</v>
      </c>
      <c r="E15" t="s">
        <v>659</v>
      </c>
      <c r="F15" t="s">
        <v>132</v>
      </c>
      <c r="G15" t="s">
        <v>659</v>
      </c>
      <c r="H15" t="s">
        <v>401</v>
      </c>
      <c r="I15">
        <v>-99</v>
      </c>
      <c r="J15">
        <v>-99</v>
      </c>
      <c r="K15" t="s">
        <v>653</v>
      </c>
      <c r="L15">
        <v>-99</v>
      </c>
      <c r="M15" t="s">
        <v>653</v>
      </c>
      <c r="N15" t="s">
        <v>653</v>
      </c>
      <c r="O15">
        <v>-99</v>
      </c>
      <c r="P15">
        <v>-99</v>
      </c>
      <c r="Q15">
        <v>2</v>
      </c>
      <c r="R15" t="s">
        <v>653</v>
      </c>
    </row>
    <row r="16" spans="1:18" x14ac:dyDescent="0.2">
      <c r="A16">
        <v>15</v>
      </c>
      <c r="B16">
        <v>-99</v>
      </c>
      <c r="C16" t="s">
        <v>661</v>
      </c>
      <c r="D16" t="s">
        <v>428</v>
      </c>
      <c r="E16" t="s">
        <v>661</v>
      </c>
      <c r="F16" t="s">
        <v>428</v>
      </c>
      <c r="G16" t="s">
        <v>653</v>
      </c>
      <c r="H16" t="s">
        <v>653</v>
      </c>
      <c r="I16">
        <v>-99</v>
      </c>
      <c r="J16">
        <v>30</v>
      </c>
      <c r="K16" t="s">
        <v>368</v>
      </c>
      <c r="L16">
        <v>-99</v>
      </c>
      <c r="M16" t="s">
        <v>653</v>
      </c>
      <c r="N16" t="s">
        <v>653</v>
      </c>
      <c r="O16">
        <v>-99</v>
      </c>
      <c r="P16">
        <v>-99</v>
      </c>
      <c r="Q16">
        <v>3</v>
      </c>
      <c r="R16" t="s">
        <v>653</v>
      </c>
    </row>
    <row r="17" spans="1:18" x14ac:dyDescent="0.2">
      <c r="A17">
        <v>16</v>
      </c>
      <c r="B17">
        <v>-99</v>
      </c>
      <c r="C17" t="s">
        <v>660</v>
      </c>
      <c r="D17" t="s">
        <v>434</v>
      </c>
      <c r="E17" t="s">
        <v>660</v>
      </c>
      <c r="F17" t="s">
        <v>434</v>
      </c>
      <c r="G17" t="s">
        <v>653</v>
      </c>
      <c r="H17" t="s">
        <v>653</v>
      </c>
      <c r="I17">
        <v>-99</v>
      </c>
      <c r="J17">
        <v>31</v>
      </c>
      <c r="K17" t="s">
        <v>379</v>
      </c>
      <c r="L17">
        <v>-99</v>
      </c>
      <c r="M17" t="s">
        <v>653</v>
      </c>
      <c r="N17" t="s">
        <v>653</v>
      </c>
      <c r="O17">
        <v>-99</v>
      </c>
      <c r="P17">
        <v>-99</v>
      </c>
      <c r="Q17">
        <v>3</v>
      </c>
      <c r="R17" t="s">
        <v>653</v>
      </c>
    </row>
    <row r="18" spans="1:18" x14ac:dyDescent="0.2">
      <c r="A18">
        <v>17</v>
      </c>
      <c r="B18">
        <v>-99</v>
      </c>
      <c r="C18" t="s">
        <v>662</v>
      </c>
      <c r="D18" t="s">
        <v>432</v>
      </c>
      <c r="E18" t="s">
        <v>662</v>
      </c>
      <c r="F18" t="s">
        <v>432</v>
      </c>
      <c r="G18" t="s">
        <v>653</v>
      </c>
      <c r="H18" t="s">
        <v>653</v>
      </c>
      <c r="I18">
        <v>-99</v>
      </c>
      <c r="J18">
        <v>32</v>
      </c>
      <c r="K18" t="s">
        <v>389</v>
      </c>
      <c r="L18">
        <v>-99</v>
      </c>
      <c r="M18" t="s">
        <v>653</v>
      </c>
      <c r="N18" t="s">
        <v>653</v>
      </c>
      <c r="O18">
        <v>-99</v>
      </c>
      <c r="P18">
        <v>-99</v>
      </c>
      <c r="Q18">
        <v>3</v>
      </c>
      <c r="R18" t="s">
        <v>653</v>
      </c>
    </row>
    <row r="19" spans="1:18" x14ac:dyDescent="0.2">
      <c r="A19">
        <v>18</v>
      </c>
      <c r="B19">
        <v>-99</v>
      </c>
      <c r="C19" t="s">
        <v>663</v>
      </c>
      <c r="D19" t="s">
        <v>431</v>
      </c>
      <c r="E19" t="s">
        <v>663</v>
      </c>
      <c r="F19" t="s">
        <v>431</v>
      </c>
      <c r="G19" t="s">
        <v>653</v>
      </c>
      <c r="H19" t="s">
        <v>653</v>
      </c>
      <c r="I19">
        <v>-99</v>
      </c>
      <c r="J19">
        <v>33</v>
      </c>
      <c r="K19" t="s">
        <v>384</v>
      </c>
      <c r="L19">
        <v>-99</v>
      </c>
      <c r="M19" t="s">
        <v>653</v>
      </c>
      <c r="N19" t="s">
        <v>653</v>
      </c>
      <c r="O19">
        <v>-99</v>
      </c>
      <c r="P19">
        <v>-99</v>
      </c>
      <c r="Q19">
        <v>3</v>
      </c>
      <c r="R19" t="s">
        <v>653</v>
      </c>
    </row>
    <row r="20" spans="1:18" x14ac:dyDescent="0.2">
      <c r="A20">
        <v>19</v>
      </c>
      <c r="B20">
        <v>-99</v>
      </c>
      <c r="C20" t="s">
        <v>664</v>
      </c>
      <c r="D20" t="s">
        <v>433</v>
      </c>
      <c r="E20" t="s">
        <v>664</v>
      </c>
      <c r="F20" t="s">
        <v>433</v>
      </c>
      <c r="G20" t="s">
        <v>653</v>
      </c>
      <c r="H20" t="s">
        <v>653</v>
      </c>
      <c r="I20">
        <v>-99</v>
      </c>
      <c r="J20">
        <v>34</v>
      </c>
      <c r="K20" t="s">
        <v>403</v>
      </c>
      <c r="L20">
        <v>-99</v>
      </c>
      <c r="M20" t="s">
        <v>653</v>
      </c>
      <c r="N20" t="s">
        <v>653</v>
      </c>
      <c r="O20">
        <v>-99</v>
      </c>
      <c r="P20">
        <v>-99</v>
      </c>
      <c r="Q20">
        <v>3</v>
      </c>
      <c r="R20" t="s">
        <v>653</v>
      </c>
    </row>
    <row r="21" spans="1:18" x14ac:dyDescent="0.2">
      <c r="A21">
        <v>20</v>
      </c>
      <c r="B21">
        <v>1</v>
      </c>
      <c r="C21" t="s">
        <v>666</v>
      </c>
      <c r="D21" t="s">
        <v>367</v>
      </c>
      <c r="E21" t="s">
        <v>666</v>
      </c>
      <c r="F21" t="s">
        <v>508</v>
      </c>
      <c r="G21" t="s">
        <v>667</v>
      </c>
      <c r="H21" t="s">
        <v>8</v>
      </c>
      <c r="I21">
        <v>-99</v>
      </c>
      <c r="J21">
        <v>35</v>
      </c>
      <c r="K21" t="s">
        <v>8</v>
      </c>
      <c r="L21">
        <v>8240</v>
      </c>
      <c r="M21" t="s">
        <v>509</v>
      </c>
      <c r="N21" t="s">
        <v>653</v>
      </c>
      <c r="O21">
        <v>1</v>
      </c>
      <c r="P21">
        <v>2</v>
      </c>
      <c r="Q21">
        <v>-99</v>
      </c>
      <c r="R21" t="s">
        <v>653</v>
      </c>
    </row>
    <row r="22" spans="1:18" x14ac:dyDescent="0.2">
      <c r="A22">
        <v>21</v>
      </c>
      <c r="B22">
        <v>8</v>
      </c>
      <c r="C22" t="s">
        <v>136</v>
      </c>
      <c r="D22" t="s">
        <v>35</v>
      </c>
      <c r="E22" t="s">
        <v>510</v>
      </c>
      <c r="F22" t="s">
        <v>511</v>
      </c>
      <c r="G22" t="s">
        <v>655</v>
      </c>
      <c r="H22" t="s">
        <v>369</v>
      </c>
      <c r="I22">
        <v>380</v>
      </c>
      <c r="J22">
        <v>30</v>
      </c>
      <c r="K22" t="s">
        <v>368</v>
      </c>
      <c r="L22">
        <v>8233</v>
      </c>
      <c r="M22" t="s">
        <v>324</v>
      </c>
      <c r="N22" t="s">
        <v>370</v>
      </c>
      <c r="O22">
        <v>1</v>
      </c>
      <c r="P22">
        <v>2</v>
      </c>
      <c r="Q22">
        <v>-99</v>
      </c>
      <c r="R22" t="s">
        <v>681</v>
      </c>
    </row>
    <row r="23" spans="1:18" x14ac:dyDescent="0.2">
      <c r="A23">
        <v>22</v>
      </c>
      <c r="B23">
        <v>9</v>
      </c>
      <c r="C23" t="s">
        <v>137</v>
      </c>
      <c r="D23" t="s">
        <v>67</v>
      </c>
      <c r="E23" t="s">
        <v>512</v>
      </c>
      <c r="F23" t="s">
        <v>513</v>
      </c>
      <c r="G23" t="s">
        <v>655</v>
      </c>
      <c r="H23" t="s">
        <v>369</v>
      </c>
      <c r="I23">
        <v>380</v>
      </c>
      <c r="J23">
        <v>30</v>
      </c>
      <c r="K23" t="s">
        <v>368</v>
      </c>
      <c r="L23">
        <v>8235</v>
      </c>
      <c r="M23" t="s">
        <v>359</v>
      </c>
      <c r="N23" t="s">
        <v>371</v>
      </c>
      <c r="O23">
        <v>1</v>
      </c>
      <c r="P23">
        <v>1</v>
      </c>
      <c r="Q23">
        <v>-99</v>
      </c>
      <c r="R23" t="s">
        <v>681</v>
      </c>
    </row>
    <row r="24" spans="1:18" x14ac:dyDescent="0.2">
      <c r="A24">
        <v>23</v>
      </c>
      <c r="B24">
        <v>-99</v>
      </c>
      <c r="C24" t="s">
        <v>137</v>
      </c>
      <c r="D24" t="s">
        <v>67</v>
      </c>
      <c r="E24" t="s">
        <v>514</v>
      </c>
      <c r="F24" t="s">
        <v>515</v>
      </c>
      <c r="G24" t="s">
        <v>655</v>
      </c>
      <c r="H24" t="s">
        <v>369</v>
      </c>
      <c r="I24">
        <v>380</v>
      </c>
      <c r="J24">
        <v>30</v>
      </c>
      <c r="K24" t="s">
        <v>368</v>
      </c>
      <c r="L24">
        <v>8235</v>
      </c>
      <c r="M24" t="s">
        <v>359</v>
      </c>
      <c r="N24" t="s">
        <v>371</v>
      </c>
      <c r="O24">
        <v>-99</v>
      </c>
      <c r="P24">
        <v>1</v>
      </c>
      <c r="Q24">
        <v>-99</v>
      </c>
      <c r="R24" t="s">
        <v>397</v>
      </c>
    </row>
    <row r="25" spans="1:18" x14ac:dyDescent="0.2">
      <c r="A25">
        <v>24</v>
      </c>
      <c r="B25">
        <v>10</v>
      </c>
      <c r="C25" t="s">
        <v>138</v>
      </c>
      <c r="D25" t="s">
        <v>60</v>
      </c>
      <c r="E25" t="s">
        <v>516</v>
      </c>
      <c r="F25" t="s">
        <v>517</v>
      </c>
      <c r="G25" t="s">
        <v>655</v>
      </c>
      <c r="H25" t="s">
        <v>369</v>
      </c>
      <c r="I25">
        <v>380</v>
      </c>
      <c r="J25">
        <v>30</v>
      </c>
      <c r="K25" t="s">
        <v>368</v>
      </c>
      <c r="L25">
        <v>8237</v>
      </c>
      <c r="M25" t="s">
        <v>334</v>
      </c>
      <c r="N25" t="s">
        <v>60</v>
      </c>
      <c r="O25">
        <v>1</v>
      </c>
      <c r="P25">
        <v>2</v>
      </c>
      <c r="Q25">
        <v>-99</v>
      </c>
      <c r="R25" t="s">
        <v>681</v>
      </c>
    </row>
    <row r="26" spans="1:18" x14ac:dyDescent="0.2">
      <c r="A26">
        <v>25</v>
      </c>
      <c r="B26">
        <v>11</v>
      </c>
      <c r="C26" t="s">
        <v>139</v>
      </c>
      <c r="D26" t="s">
        <v>24</v>
      </c>
      <c r="E26" t="s">
        <v>518</v>
      </c>
      <c r="F26" t="s">
        <v>519</v>
      </c>
      <c r="G26" t="s">
        <v>655</v>
      </c>
      <c r="H26" t="s">
        <v>369</v>
      </c>
      <c r="I26">
        <v>380</v>
      </c>
      <c r="J26">
        <v>30</v>
      </c>
      <c r="K26" t="s">
        <v>368</v>
      </c>
      <c r="L26">
        <v>8238</v>
      </c>
      <c r="M26" t="s">
        <v>334</v>
      </c>
      <c r="N26" t="s">
        <v>60</v>
      </c>
      <c r="O26">
        <v>1</v>
      </c>
      <c r="P26">
        <v>2</v>
      </c>
      <c r="Q26">
        <v>-99</v>
      </c>
      <c r="R26" t="s">
        <v>681</v>
      </c>
    </row>
    <row r="27" spans="1:18" x14ac:dyDescent="0.2">
      <c r="A27">
        <v>26</v>
      </c>
      <c r="B27">
        <v>12</v>
      </c>
      <c r="C27" t="s">
        <v>140</v>
      </c>
      <c r="D27" t="s">
        <v>44</v>
      </c>
      <c r="E27" t="s">
        <v>520</v>
      </c>
      <c r="F27" t="s">
        <v>521</v>
      </c>
      <c r="G27" t="s">
        <v>655</v>
      </c>
      <c r="H27" t="s">
        <v>369</v>
      </c>
      <c r="I27">
        <v>380</v>
      </c>
      <c r="J27">
        <v>30</v>
      </c>
      <c r="K27" t="s">
        <v>368</v>
      </c>
      <c r="L27">
        <v>8239</v>
      </c>
      <c r="M27" t="s">
        <v>352</v>
      </c>
      <c r="N27" t="s">
        <v>372</v>
      </c>
      <c r="O27">
        <v>1</v>
      </c>
      <c r="P27">
        <v>2</v>
      </c>
      <c r="Q27">
        <v>-99</v>
      </c>
      <c r="R27" t="s">
        <v>681</v>
      </c>
    </row>
    <row r="28" spans="1:18" x14ac:dyDescent="0.2">
      <c r="A28">
        <v>27</v>
      </c>
      <c r="B28">
        <v>13</v>
      </c>
      <c r="C28" t="s">
        <v>141</v>
      </c>
      <c r="D28" t="s">
        <v>61</v>
      </c>
      <c r="E28" t="s">
        <v>522</v>
      </c>
      <c r="F28" t="s">
        <v>523</v>
      </c>
      <c r="G28" t="s">
        <v>655</v>
      </c>
      <c r="H28" t="s">
        <v>369</v>
      </c>
      <c r="I28">
        <v>380</v>
      </c>
      <c r="J28">
        <v>30</v>
      </c>
      <c r="K28" t="s">
        <v>368</v>
      </c>
      <c r="L28">
        <v>8241</v>
      </c>
      <c r="M28" t="s">
        <v>356</v>
      </c>
      <c r="N28" t="s">
        <v>373</v>
      </c>
      <c r="O28">
        <v>1</v>
      </c>
      <c r="P28">
        <v>2</v>
      </c>
      <c r="Q28">
        <v>-99</v>
      </c>
      <c r="R28" t="s">
        <v>681</v>
      </c>
    </row>
    <row r="29" spans="1:18" x14ac:dyDescent="0.2">
      <c r="A29">
        <v>28</v>
      </c>
      <c r="B29">
        <v>14</v>
      </c>
      <c r="C29" t="s">
        <v>99</v>
      </c>
      <c r="D29" t="s">
        <v>63</v>
      </c>
      <c r="E29" t="s">
        <v>524</v>
      </c>
      <c r="F29" t="s">
        <v>525</v>
      </c>
      <c r="G29" t="s">
        <v>655</v>
      </c>
      <c r="H29" t="s">
        <v>369</v>
      </c>
      <c r="I29">
        <v>380</v>
      </c>
      <c r="J29">
        <v>30</v>
      </c>
      <c r="K29" t="s">
        <v>368</v>
      </c>
      <c r="L29">
        <v>8242</v>
      </c>
      <c r="M29" t="s">
        <v>346</v>
      </c>
      <c r="N29" t="s">
        <v>374</v>
      </c>
      <c r="O29">
        <v>1</v>
      </c>
      <c r="P29">
        <v>1</v>
      </c>
      <c r="Q29">
        <v>-99</v>
      </c>
      <c r="R29" t="s">
        <v>681</v>
      </c>
    </row>
    <row r="30" spans="1:18" x14ac:dyDescent="0.2">
      <c r="A30">
        <v>29</v>
      </c>
      <c r="B30">
        <v>-99</v>
      </c>
      <c r="C30" t="s">
        <v>99</v>
      </c>
      <c r="D30" t="s">
        <v>63</v>
      </c>
      <c r="E30" t="s">
        <v>526</v>
      </c>
      <c r="F30" t="s">
        <v>210</v>
      </c>
      <c r="G30" t="s">
        <v>655</v>
      </c>
      <c r="H30" t="s">
        <v>369</v>
      </c>
      <c r="I30">
        <v>380</v>
      </c>
      <c r="J30">
        <v>30</v>
      </c>
      <c r="K30" t="s">
        <v>368</v>
      </c>
      <c r="L30">
        <v>8242</v>
      </c>
      <c r="M30" t="s">
        <v>346</v>
      </c>
      <c r="N30" t="s">
        <v>374</v>
      </c>
      <c r="O30">
        <v>-99</v>
      </c>
      <c r="P30">
        <v>1</v>
      </c>
      <c r="Q30">
        <v>-99</v>
      </c>
      <c r="R30" t="s">
        <v>208</v>
      </c>
    </row>
    <row r="31" spans="1:18" x14ac:dyDescent="0.2">
      <c r="A31">
        <v>30</v>
      </c>
      <c r="B31">
        <v>15</v>
      </c>
      <c r="C31" t="s">
        <v>142</v>
      </c>
      <c r="D31" t="s">
        <v>65</v>
      </c>
      <c r="E31" t="s">
        <v>527</v>
      </c>
      <c r="F31" t="s">
        <v>528</v>
      </c>
      <c r="G31" t="s">
        <v>655</v>
      </c>
      <c r="H31" t="s">
        <v>369</v>
      </c>
      <c r="I31">
        <v>380</v>
      </c>
      <c r="J31">
        <v>30</v>
      </c>
      <c r="K31" t="s">
        <v>368</v>
      </c>
      <c r="L31">
        <v>8243</v>
      </c>
      <c r="M31" t="s">
        <v>346</v>
      </c>
      <c r="N31" t="s">
        <v>374</v>
      </c>
      <c r="O31">
        <v>1</v>
      </c>
      <c r="P31">
        <v>1</v>
      </c>
      <c r="Q31">
        <v>-99</v>
      </c>
      <c r="R31" t="s">
        <v>681</v>
      </c>
    </row>
    <row r="32" spans="1:18" x14ac:dyDescent="0.2">
      <c r="A32">
        <v>31</v>
      </c>
      <c r="B32">
        <v>-99</v>
      </c>
      <c r="C32" t="s">
        <v>142</v>
      </c>
      <c r="D32" t="s">
        <v>65</v>
      </c>
      <c r="E32" t="s">
        <v>529</v>
      </c>
      <c r="F32" t="s">
        <v>530</v>
      </c>
      <c r="G32" t="s">
        <v>655</v>
      </c>
      <c r="H32" t="s">
        <v>369</v>
      </c>
      <c r="I32">
        <v>380</v>
      </c>
      <c r="J32">
        <v>30</v>
      </c>
      <c r="K32" t="s">
        <v>368</v>
      </c>
      <c r="L32">
        <v>8243</v>
      </c>
      <c r="M32" t="s">
        <v>346</v>
      </c>
      <c r="N32" t="s">
        <v>374</v>
      </c>
      <c r="O32">
        <v>-99</v>
      </c>
      <c r="P32">
        <v>1</v>
      </c>
      <c r="Q32">
        <v>-99</v>
      </c>
      <c r="R32" t="s">
        <v>680</v>
      </c>
    </row>
    <row r="33" spans="1:18" x14ac:dyDescent="0.2">
      <c r="A33">
        <v>32</v>
      </c>
      <c r="B33">
        <v>16</v>
      </c>
      <c r="C33" t="s">
        <v>143</v>
      </c>
      <c r="D33" t="s">
        <v>33</v>
      </c>
      <c r="E33" t="s">
        <v>531</v>
      </c>
      <c r="F33" t="s">
        <v>532</v>
      </c>
      <c r="G33" t="s">
        <v>655</v>
      </c>
      <c r="H33" t="s">
        <v>369</v>
      </c>
      <c r="I33">
        <v>380</v>
      </c>
      <c r="J33">
        <v>30</v>
      </c>
      <c r="K33" t="s">
        <v>368</v>
      </c>
      <c r="L33">
        <v>8244</v>
      </c>
      <c r="M33" t="s">
        <v>341</v>
      </c>
      <c r="N33" t="s">
        <v>375</v>
      </c>
      <c r="O33">
        <v>1</v>
      </c>
      <c r="P33">
        <v>2</v>
      </c>
      <c r="Q33">
        <v>-99</v>
      </c>
      <c r="R33" t="s">
        <v>681</v>
      </c>
    </row>
    <row r="34" spans="1:18" x14ac:dyDescent="0.2">
      <c r="A34">
        <v>33</v>
      </c>
      <c r="B34">
        <v>23</v>
      </c>
      <c r="C34" t="s">
        <v>103</v>
      </c>
      <c r="D34" t="s">
        <v>69</v>
      </c>
      <c r="E34" t="s">
        <v>533</v>
      </c>
      <c r="F34" t="s">
        <v>534</v>
      </c>
      <c r="G34" t="s">
        <v>656</v>
      </c>
      <c r="H34" t="s">
        <v>376</v>
      </c>
      <c r="I34">
        <v>381</v>
      </c>
      <c r="J34">
        <v>30</v>
      </c>
      <c r="K34" t="s">
        <v>368</v>
      </c>
      <c r="L34">
        <v>8245</v>
      </c>
      <c r="M34" t="s">
        <v>320</v>
      </c>
      <c r="N34" t="s">
        <v>377</v>
      </c>
      <c r="O34">
        <v>1</v>
      </c>
      <c r="P34">
        <v>2</v>
      </c>
      <c r="Q34">
        <v>-99</v>
      </c>
      <c r="R34" t="s">
        <v>681</v>
      </c>
    </row>
    <row r="35" spans="1:18" x14ac:dyDescent="0.2">
      <c r="A35">
        <v>34</v>
      </c>
      <c r="B35">
        <v>24</v>
      </c>
      <c r="C35" t="s">
        <v>144</v>
      </c>
      <c r="D35" t="s">
        <v>47</v>
      </c>
      <c r="E35" t="s">
        <v>535</v>
      </c>
      <c r="F35" t="s">
        <v>536</v>
      </c>
      <c r="G35" t="s">
        <v>656</v>
      </c>
      <c r="H35" t="s">
        <v>376</v>
      </c>
      <c r="I35">
        <v>381</v>
      </c>
      <c r="J35">
        <v>30</v>
      </c>
      <c r="K35" t="s">
        <v>368</v>
      </c>
      <c r="L35">
        <v>8246</v>
      </c>
      <c r="M35" t="s">
        <v>336</v>
      </c>
      <c r="N35" t="s">
        <v>378</v>
      </c>
      <c r="O35">
        <v>1</v>
      </c>
      <c r="P35">
        <v>2</v>
      </c>
      <c r="Q35">
        <v>-99</v>
      </c>
      <c r="R35" t="s">
        <v>681</v>
      </c>
    </row>
    <row r="36" spans="1:18" x14ac:dyDescent="0.2">
      <c r="A36">
        <v>35</v>
      </c>
      <c r="B36">
        <v>30</v>
      </c>
      <c r="C36" t="s">
        <v>145</v>
      </c>
      <c r="D36" t="s">
        <v>25</v>
      </c>
      <c r="E36" t="s">
        <v>537</v>
      </c>
      <c r="F36" t="s">
        <v>538</v>
      </c>
      <c r="G36" t="s">
        <v>656</v>
      </c>
      <c r="H36" t="s">
        <v>376</v>
      </c>
      <c r="I36">
        <v>381</v>
      </c>
      <c r="J36">
        <v>31</v>
      </c>
      <c r="K36" t="s">
        <v>379</v>
      </c>
      <c r="L36">
        <v>8247</v>
      </c>
      <c r="M36" t="s">
        <v>361</v>
      </c>
      <c r="N36" t="s">
        <v>380</v>
      </c>
      <c r="O36">
        <v>1</v>
      </c>
      <c r="P36">
        <v>2</v>
      </c>
      <c r="Q36">
        <v>-99</v>
      </c>
      <c r="R36" t="s">
        <v>681</v>
      </c>
    </row>
    <row r="37" spans="1:18" x14ac:dyDescent="0.2">
      <c r="A37">
        <v>36</v>
      </c>
      <c r="B37">
        <v>194</v>
      </c>
      <c r="C37" t="s">
        <v>146</v>
      </c>
      <c r="D37" t="s">
        <v>77</v>
      </c>
      <c r="E37" t="s">
        <v>539</v>
      </c>
      <c r="F37" t="s">
        <v>540</v>
      </c>
      <c r="G37" t="s">
        <v>656</v>
      </c>
      <c r="H37" t="s">
        <v>376</v>
      </c>
      <c r="I37">
        <v>381</v>
      </c>
      <c r="J37">
        <v>31</v>
      </c>
      <c r="K37" t="s">
        <v>379</v>
      </c>
      <c r="L37">
        <v>8248</v>
      </c>
      <c r="M37" t="s">
        <v>316</v>
      </c>
      <c r="N37" t="s">
        <v>424</v>
      </c>
      <c r="O37">
        <v>1</v>
      </c>
      <c r="P37">
        <v>2</v>
      </c>
      <c r="Q37">
        <v>-99</v>
      </c>
      <c r="R37" t="s">
        <v>681</v>
      </c>
    </row>
    <row r="38" spans="1:18" x14ac:dyDescent="0.2">
      <c r="A38">
        <v>37</v>
      </c>
      <c r="B38">
        <v>34</v>
      </c>
      <c r="C38" t="s">
        <v>147</v>
      </c>
      <c r="D38" t="s">
        <v>83</v>
      </c>
      <c r="E38" t="s">
        <v>541</v>
      </c>
      <c r="F38" t="s">
        <v>542</v>
      </c>
      <c r="G38" t="s">
        <v>656</v>
      </c>
      <c r="H38" t="s">
        <v>376</v>
      </c>
      <c r="I38">
        <v>381</v>
      </c>
      <c r="J38">
        <v>30</v>
      </c>
      <c r="K38" t="s">
        <v>368</v>
      </c>
      <c r="L38">
        <v>8249</v>
      </c>
      <c r="M38" t="s">
        <v>347</v>
      </c>
      <c r="N38" t="s">
        <v>381</v>
      </c>
      <c r="O38">
        <v>1</v>
      </c>
      <c r="P38">
        <v>1</v>
      </c>
      <c r="Q38">
        <v>-99</v>
      </c>
      <c r="R38" t="s">
        <v>681</v>
      </c>
    </row>
    <row r="39" spans="1:18" x14ac:dyDescent="0.2">
      <c r="A39">
        <v>38</v>
      </c>
      <c r="B39">
        <v>-99</v>
      </c>
      <c r="C39" t="s">
        <v>147</v>
      </c>
      <c r="D39" t="s">
        <v>83</v>
      </c>
      <c r="E39" t="s">
        <v>543</v>
      </c>
      <c r="F39" t="s">
        <v>213</v>
      </c>
      <c r="G39" t="s">
        <v>656</v>
      </c>
      <c r="H39" t="s">
        <v>376</v>
      </c>
      <c r="I39">
        <v>381</v>
      </c>
      <c r="J39">
        <v>30</v>
      </c>
      <c r="K39" t="s">
        <v>368</v>
      </c>
      <c r="L39">
        <v>8249</v>
      </c>
      <c r="M39" t="s">
        <v>347</v>
      </c>
      <c r="N39" t="s">
        <v>381</v>
      </c>
      <c r="O39">
        <v>-99</v>
      </c>
      <c r="P39">
        <v>1</v>
      </c>
      <c r="Q39">
        <v>-99</v>
      </c>
      <c r="R39" t="s">
        <v>678</v>
      </c>
    </row>
    <row r="40" spans="1:18" x14ac:dyDescent="0.2">
      <c r="A40">
        <v>39</v>
      </c>
      <c r="B40">
        <v>-99</v>
      </c>
      <c r="C40" t="s">
        <v>147</v>
      </c>
      <c r="D40" t="s">
        <v>83</v>
      </c>
      <c r="E40" t="s">
        <v>544</v>
      </c>
      <c r="F40" t="s">
        <v>956</v>
      </c>
      <c r="G40" t="s">
        <v>656</v>
      </c>
      <c r="H40" t="s">
        <v>376</v>
      </c>
      <c r="I40">
        <v>381</v>
      </c>
      <c r="J40">
        <v>30</v>
      </c>
      <c r="K40" t="s">
        <v>368</v>
      </c>
      <c r="L40">
        <v>8249</v>
      </c>
      <c r="M40" t="s">
        <v>347</v>
      </c>
      <c r="N40" t="s">
        <v>381</v>
      </c>
      <c r="O40">
        <v>-99</v>
      </c>
      <c r="P40">
        <v>1</v>
      </c>
      <c r="Q40">
        <v>-99</v>
      </c>
      <c r="R40" t="s">
        <v>679</v>
      </c>
    </row>
    <row r="41" spans="1:18" x14ac:dyDescent="0.2">
      <c r="A41">
        <v>40</v>
      </c>
      <c r="B41">
        <v>35</v>
      </c>
      <c r="C41" t="s">
        <v>148</v>
      </c>
      <c r="D41" t="s">
        <v>39</v>
      </c>
      <c r="E41" t="s">
        <v>545</v>
      </c>
      <c r="F41" t="s">
        <v>546</v>
      </c>
      <c r="G41" t="s">
        <v>656</v>
      </c>
      <c r="H41" t="s">
        <v>376</v>
      </c>
      <c r="I41">
        <v>381</v>
      </c>
      <c r="J41">
        <v>31</v>
      </c>
      <c r="K41" t="s">
        <v>379</v>
      </c>
      <c r="L41">
        <v>8250</v>
      </c>
      <c r="M41" t="s">
        <v>339</v>
      </c>
      <c r="N41" t="s">
        <v>382</v>
      </c>
      <c r="O41">
        <v>1</v>
      </c>
      <c r="P41">
        <v>2</v>
      </c>
      <c r="Q41">
        <v>-99</v>
      </c>
      <c r="R41" t="s">
        <v>681</v>
      </c>
    </row>
    <row r="42" spans="1:18" x14ac:dyDescent="0.2">
      <c r="A42">
        <v>41</v>
      </c>
      <c r="B42">
        <v>36</v>
      </c>
      <c r="C42" t="s">
        <v>91</v>
      </c>
      <c r="D42" t="s">
        <v>58</v>
      </c>
      <c r="E42" t="s">
        <v>547</v>
      </c>
      <c r="F42" t="s">
        <v>548</v>
      </c>
      <c r="G42" t="s">
        <v>656</v>
      </c>
      <c r="H42" t="s">
        <v>376</v>
      </c>
      <c r="I42">
        <v>381</v>
      </c>
      <c r="J42">
        <v>31</v>
      </c>
      <c r="K42" t="s">
        <v>379</v>
      </c>
      <c r="L42">
        <v>8251</v>
      </c>
      <c r="M42" t="s">
        <v>342</v>
      </c>
      <c r="N42" t="s">
        <v>383</v>
      </c>
      <c r="O42">
        <v>1</v>
      </c>
      <c r="P42">
        <v>2</v>
      </c>
      <c r="Q42">
        <v>-99</v>
      </c>
      <c r="R42" t="s">
        <v>681</v>
      </c>
    </row>
    <row r="43" spans="1:18" x14ac:dyDescent="0.2">
      <c r="A43">
        <v>42</v>
      </c>
      <c r="B43">
        <v>37</v>
      </c>
      <c r="C43" t="s">
        <v>149</v>
      </c>
      <c r="D43" t="s">
        <v>59</v>
      </c>
      <c r="E43" t="s">
        <v>549</v>
      </c>
      <c r="F43" t="s">
        <v>550</v>
      </c>
      <c r="G43" t="s">
        <v>657</v>
      </c>
      <c r="H43" t="s">
        <v>385</v>
      </c>
      <c r="I43">
        <v>382</v>
      </c>
      <c r="J43">
        <v>33</v>
      </c>
      <c r="K43" t="s">
        <v>384</v>
      </c>
      <c r="L43">
        <v>8252</v>
      </c>
      <c r="M43" t="s">
        <v>319</v>
      </c>
      <c r="N43" t="s">
        <v>386</v>
      </c>
      <c r="O43">
        <v>1</v>
      </c>
      <c r="P43">
        <v>2</v>
      </c>
      <c r="Q43">
        <v>-99</v>
      </c>
      <c r="R43" t="s">
        <v>681</v>
      </c>
    </row>
    <row r="44" spans="1:18" x14ac:dyDescent="0.2">
      <c r="A44">
        <v>43</v>
      </c>
      <c r="B44">
        <v>38</v>
      </c>
      <c r="C44" t="s">
        <v>150</v>
      </c>
      <c r="D44" t="s">
        <v>57</v>
      </c>
      <c r="E44" t="s">
        <v>551</v>
      </c>
      <c r="F44" t="s">
        <v>552</v>
      </c>
      <c r="G44" t="s">
        <v>656</v>
      </c>
      <c r="H44" t="s">
        <v>376</v>
      </c>
      <c r="I44">
        <v>381</v>
      </c>
      <c r="J44">
        <v>31</v>
      </c>
      <c r="K44" t="s">
        <v>379</v>
      </c>
      <c r="L44">
        <v>8253</v>
      </c>
      <c r="M44" t="s">
        <v>353</v>
      </c>
      <c r="N44" t="s">
        <v>387</v>
      </c>
      <c r="O44">
        <v>1</v>
      </c>
      <c r="P44">
        <v>2</v>
      </c>
      <c r="Q44">
        <v>-99</v>
      </c>
      <c r="R44" t="s">
        <v>681</v>
      </c>
    </row>
    <row r="45" spans="1:18" x14ac:dyDescent="0.2">
      <c r="A45">
        <v>44</v>
      </c>
      <c r="B45">
        <v>39</v>
      </c>
      <c r="C45" t="s">
        <v>151</v>
      </c>
      <c r="D45" t="s">
        <v>49</v>
      </c>
      <c r="E45" t="s">
        <v>553</v>
      </c>
      <c r="F45" t="s">
        <v>554</v>
      </c>
      <c r="G45" t="s">
        <v>656</v>
      </c>
      <c r="H45" t="s">
        <v>376</v>
      </c>
      <c r="I45">
        <v>381</v>
      </c>
      <c r="J45">
        <v>33</v>
      </c>
      <c r="K45" t="s">
        <v>384</v>
      </c>
      <c r="L45">
        <v>8254</v>
      </c>
      <c r="M45" t="s">
        <v>354</v>
      </c>
      <c r="N45" t="s">
        <v>388</v>
      </c>
      <c r="O45">
        <v>1</v>
      </c>
      <c r="P45">
        <v>1</v>
      </c>
      <c r="Q45">
        <v>-99</v>
      </c>
      <c r="R45" t="s">
        <v>681</v>
      </c>
    </row>
    <row r="46" spans="1:18" x14ac:dyDescent="0.2">
      <c r="A46">
        <v>45</v>
      </c>
      <c r="B46">
        <v>-99</v>
      </c>
      <c r="C46" t="s">
        <v>151</v>
      </c>
      <c r="D46" t="s">
        <v>49</v>
      </c>
      <c r="E46" t="s">
        <v>555</v>
      </c>
      <c r="F46" t="s">
        <v>556</v>
      </c>
      <c r="G46" t="s">
        <v>656</v>
      </c>
      <c r="H46" t="s">
        <v>376</v>
      </c>
      <c r="I46">
        <v>381</v>
      </c>
      <c r="J46">
        <v>33</v>
      </c>
      <c r="K46" t="s">
        <v>384</v>
      </c>
      <c r="L46">
        <v>8254</v>
      </c>
      <c r="M46" t="s">
        <v>354</v>
      </c>
      <c r="N46" t="s">
        <v>388</v>
      </c>
      <c r="O46">
        <v>-99</v>
      </c>
      <c r="P46">
        <v>1</v>
      </c>
      <c r="Q46">
        <v>-99</v>
      </c>
      <c r="R46" t="s">
        <v>682</v>
      </c>
    </row>
    <row r="47" spans="1:18" x14ac:dyDescent="0.2">
      <c r="A47">
        <v>46</v>
      </c>
      <c r="B47">
        <v>52</v>
      </c>
      <c r="C47" t="s">
        <v>152</v>
      </c>
      <c r="D47" t="s">
        <v>38</v>
      </c>
      <c r="E47" t="s">
        <v>557</v>
      </c>
      <c r="F47" t="s">
        <v>558</v>
      </c>
      <c r="G47" t="s">
        <v>655</v>
      </c>
      <c r="H47" t="s">
        <v>369</v>
      </c>
      <c r="I47">
        <v>380</v>
      </c>
      <c r="J47">
        <v>32</v>
      </c>
      <c r="K47" t="s">
        <v>389</v>
      </c>
      <c r="L47">
        <v>8255</v>
      </c>
      <c r="M47" t="s">
        <v>355</v>
      </c>
      <c r="N47" t="s">
        <v>390</v>
      </c>
      <c r="O47">
        <v>1</v>
      </c>
      <c r="P47">
        <v>2</v>
      </c>
      <c r="Q47">
        <v>-99</v>
      </c>
      <c r="R47" t="s">
        <v>681</v>
      </c>
    </row>
    <row r="48" spans="1:18" x14ac:dyDescent="0.2">
      <c r="A48">
        <v>47</v>
      </c>
      <c r="B48">
        <v>53</v>
      </c>
      <c r="C48" t="s">
        <v>153</v>
      </c>
      <c r="D48" t="s">
        <v>48</v>
      </c>
      <c r="E48" t="s">
        <v>559</v>
      </c>
      <c r="F48" t="s">
        <v>560</v>
      </c>
      <c r="G48" t="s">
        <v>655</v>
      </c>
      <c r="H48" t="s">
        <v>369</v>
      </c>
      <c r="I48">
        <v>380</v>
      </c>
      <c r="J48">
        <v>32</v>
      </c>
      <c r="K48" t="s">
        <v>389</v>
      </c>
      <c r="L48">
        <v>8256</v>
      </c>
      <c r="M48" t="s">
        <v>329</v>
      </c>
      <c r="N48" t="s">
        <v>391</v>
      </c>
      <c r="O48">
        <v>1</v>
      </c>
      <c r="P48">
        <v>2</v>
      </c>
      <c r="Q48">
        <v>-99</v>
      </c>
      <c r="R48" t="s">
        <v>681</v>
      </c>
    </row>
    <row r="49" spans="1:18" x14ac:dyDescent="0.2">
      <c r="A49">
        <v>48</v>
      </c>
      <c r="B49">
        <v>54</v>
      </c>
      <c r="C49" t="s">
        <v>154</v>
      </c>
      <c r="D49" t="s">
        <v>53</v>
      </c>
      <c r="E49" t="s">
        <v>561</v>
      </c>
      <c r="F49" t="s">
        <v>562</v>
      </c>
      <c r="G49" t="s">
        <v>656</v>
      </c>
      <c r="H49" t="s">
        <v>376</v>
      </c>
      <c r="I49">
        <v>381</v>
      </c>
      <c r="J49">
        <v>31</v>
      </c>
      <c r="K49" t="s">
        <v>379</v>
      </c>
      <c r="L49">
        <v>8257</v>
      </c>
      <c r="M49" t="s">
        <v>335</v>
      </c>
      <c r="N49" t="s">
        <v>392</v>
      </c>
      <c r="O49">
        <v>1</v>
      </c>
      <c r="P49">
        <v>1</v>
      </c>
      <c r="Q49">
        <v>-99</v>
      </c>
      <c r="R49" t="s">
        <v>681</v>
      </c>
    </row>
    <row r="50" spans="1:18" x14ac:dyDescent="0.2">
      <c r="A50">
        <v>49</v>
      </c>
      <c r="B50">
        <v>-99</v>
      </c>
      <c r="C50" t="s">
        <v>154</v>
      </c>
      <c r="D50" t="s">
        <v>53</v>
      </c>
      <c r="E50" t="s">
        <v>563</v>
      </c>
      <c r="F50" t="s">
        <v>564</v>
      </c>
      <c r="G50" t="s">
        <v>656</v>
      </c>
      <c r="H50" t="s">
        <v>376</v>
      </c>
      <c r="I50">
        <v>381</v>
      </c>
      <c r="J50">
        <v>31</v>
      </c>
      <c r="K50" t="s">
        <v>379</v>
      </c>
      <c r="L50">
        <v>8257</v>
      </c>
      <c r="M50" t="s">
        <v>335</v>
      </c>
      <c r="N50" t="s">
        <v>392</v>
      </c>
      <c r="O50">
        <v>-99</v>
      </c>
      <c r="P50">
        <v>1</v>
      </c>
      <c r="Q50">
        <v>-99</v>
      </c>
      <c r="R50" t="s">
        <v>683</v>
      </c>
    </row>
    <row r="51" spans="1:18" x14ac:dyDescent="0.2">
      <c r="A51">
        <v>50</v>
      </c>
      <c r="B51">
        <v>55</v>
      </c>
      <c r="C51" t="s">
        <v>155</v>
      </c>
      <c r="D51" t="s">
        <v>37</v>
      </c>
      <c r="E51" t="s">
        <v>565</v>
      </c>
      <c r="F51" t="s">
        <v>566</v>
      </c>
      <c r="G51" t="s">
        <v>657</v>
      </c>
      <c r="H51" t="s">
        <v>385</v>
      </c>
      <c r="I51">
        <v>382</v>
      </c>
      <c r="J51">
        <v>32</v>
      </c>
      <c r="K51" t="s">
        <v>389</v>
      </c>
      <c r="L51">
        <v>8258</v>
      </c>
      <c r="M51" t="s">
        <v>348</v>
      </c>
      <c r="N51" t="s">
        <v>393</v>
      </c>
      <c r="O51">
        <v>1</v>
      </c>
      <c r="P51">
        <v>2</v>
      </c>
      <c r="Q51">
        <v>-99</v>
      </c>
      <c r="R51" t="s">
        <v>681</v>
      </c>
    </row>
    <row r="52" spans="1:18" x14ac:dyDescent="0.2">
      <c r="A52">
        <v>51</v>
      </c>
      <c r="B52">
        <v>56</v>
      </c>
      <c r="C52" t="s">
        <v>156</v>
      </c>
      <c r="D52" t="s">
        <v>42</v>
      </c>
      <c r="E52" t="s">
        <v>567</v>
      </c>
      <c r="F52" t="s">
        <v>568</v>
      </c>
      <c r="G52" t="s">
        <v>655</v>
      </c>
      <c r="H52" t="s">
        <v>369</v>
      </c>
      <c r="I52">
        <v>380</v>
      </c>
      <c r="J52">
        <v>32</v>
      </c>
      <c r="K52" t="s">
        <v>389</v>
      </c>
      <c r="L52">
        <v>8259</v>
      </c>
      <c r="M52" t="s">
        <v>325</v>
      </c>
      <c r="N52" t="s">
        <v>394</v>
      </c>
      <c r="O52">
        <v>1</v>
      </c>
      <c r="P52">
        <v>2</v>
      </c>
      <c r="Q52">
        <v>-99</v>
      </c>
      <c r="R52" t="s">
        <v>681</v>
      </c>
    </row>
    <row r="53" spans="1:18" x14ac:dyDescent="0.2">
      <c r="A53">
        <v>52</v>
      </c>
      <c r="B53">
        <v>57</v>
      </c>
      <c r="C53" t="s">
        <v>157</v>
      </c>
      <c r="D53" t="s">
        <v>56</v>
      </c>
      <c r="E53" t="s">
        <v>569</v>
      </c>
      <c r="F53" t="s">
        <v>570</v>
      </c>
      <c r="G53" t="s">
        <v>657</v>
      </c>
      <c r="H53" t="s">
        <v>385</v>
      </c>
      <c r="I53">
        <v>382</v>
      </c>
      <c r="J53">
        <v>32</v>
      </c>
      <c r="K53" t="s">
        <v>389</v>
      </c>
      <c r="L53">
        <v>8260</v>
      </c>
      <c r="M53" t="s">
        <v>315</v>
      </c>
      <c r="N53" t="s">
        <v>395</v>
      </c>
      <c r="O53">
        <v>1</v>
      </c>
      <c r="P53">
        <v>1</v>
      </c>
      <c r="Q53">
        <v>-99</v>
      </c>
      <c r="R53" t="s">
        <v>681</v>
      </c>
    </row>
    <row r="54" spans="1:18" x14ac:dyDescent="0.2">
      <c r="A54">
        <v>53</v>
      </c>
      <c r="B54">
        <v>-99</v>
      </c>
      <c r="C54" t="s">
        <v>157</v>
      </c>
      <c r="D54" t="s">
        <v>56</v>
      </c>
      <c r="E54" t="s">
        <v>571</v>
      </c>
      <c r="F54" t="s">
        <v>209</v>
      </c>
      <c r="G54" t="s">
        <v>657</v>
      </c>
      <c r="H54" t="s">
        <v>385</v>
      </c>
      <c r="I54">
        <v>382</v>
      </c>
      <c r="J54">
        <v>32</v>
      </c>
      <c r="K54" t="s">
        <v>389</v>
      </c>
      <c r="L54">
        <v>8260</v>
      </c>
      <c r="M54" t="s">
        <v>315</v>
      </c>
      <c r="N54" t="s">
        <v>395</v>
      </c>
      <c r="O54">
        <v>-99</v>
      </c>
      <c r="P54">
        <v>1</v>
      </c>
      <c r="Q54">
        <v>-99</v>
      </c>
      <c r="R54" t="s">
        <v>208</v>
      </c>
    </row>
    <row r="55" spans="1:18" x14ac:dyDescent="0.2">
      <c r="A55">
        <v>54</v>
      </c>
      <c r="B55">
        <v>58</v>
      </c>
      <c r="C55" t="s">
        <v>158</v>
      </c>
      <c r="D55" t="s">
        <v>75</v>
      </c>
      <c r="E55" t="s">
        <v>572</v>
      </c>
      <c r="F55" t="s">
        <v>573</v>
      </c>
      <c r="G55" t="s">
        <v>657</v>
      </c>
      <c r="H55" t="s">
        <v>385</v>
      </c>
      <c r="I55">
        <v>382</v>
      </c>
      <c r="J55">
        <v>32</v>
      </c>
      <c r="K55" t="s">
        <v>389</v>
      </c>
      <c r="L55">
        <v>8261</v>
      </c>
      <c r="M55" t="s">
        <v>338</v>
      </c>
      <c r="N55" t="s">
        <v>396</v>
      </c>
      <c r="O55">
        <v>1</v>
      </c>
      <c r="P55">
        <v>2</v>
      </c>
      <c r="Q55">
        <v>-99</v>
      </c>
      <c r="R55" t="s">
        <v>681</v>
      </c>
    </row>
    <row r="56" spans="1:18" x14ac:dyDescent="0.2">
      <c r="A56">
        <v>55</v>
      </c>
      <c r="B56">
        <v>59</v>
      </c>
      <c r="C56" t="s">
        <v>159</v>
      </c>
      <c r="D56" t="s">
        <v>41</v>
      </c>
      <c r="E56" t="s">
        <v>574</v>
      </c>
      <c r="F56" t="s">
        <v>575</v>
      </c>
      <c r="G56" t="s">
        <v>657</v>
      </c>
      <c r="H56" t="s">
        <v>385</v>
      </c>
      <c r="I56">
        <v>382</v>
      </c>
      <c r="J56">
        <v>32</v>
      </c>
      <c r="K56" t="s">
        <v>389</v>
      </c>
      <c r="L56">
        <v>8262</v>
      </c>
      <c r="M56" t="s">
        <v>362</v>
      </c>
      <c r="N56" t="s">
        <v>398</v>
      </c>
      <c r="O56">
        <v>1</v>
      </c>
      <c r="P56">
        <v>2</v>
      </c>
      <c r="Q56">
        <v>-99</v>
      </c>
      <c r="R56" t="s">
        <v>681</v>
      </c>
    </row>
    <row r="57" spans="1:18" x14ac:dyDescent="0.2">
      <c r="A57">
        <v>56</v>
      </c>
      <c r="B57">
        <v>60</v>
      </c>
      <c r="C57" t="s">
        <v>160</v>
      </c>
      <c r="D57" t="s">
        <v>50</v>
      </c>
      <c r="E57" t="s">
        <v>576</v>
      </c>
      <c r="F57" t="s">
        <v>577</v>
      </c>
      <c r="G57" t="s">
        <v>657</v>
      </c>
      <c r="H57" t="s">
        <v>385</v>
      </c>
      <c r="I57">
        <v>382</v>
      </c>
      <c r="J57">
        <v>32</v>
      </c>
      <c r="K57" t="s">
        <v>389</v>
      </c>
      <c r="L57">
        <v>8263</v>
      </c>
      <c r="M57" t="s">
        <v>321</v>
      </c>
      <c r="N57" t="s">
        <v>399</v>
      </c>
      <c r="O57">
        <v>1</v>
      </c>
      <c r="P57">
        <v>2</v>
      </c>
      <c r="Q57">
        <v>-99</v>
      </c>
      <c r="R57" t="s">
        <v>681</v>
      </c>
    </row>
    <row r="58" spans="1:18" x14ac:dyDescent="0.2">
      <c r="A58">
        <v>57</v>
      </c>
      <c r="B58">
        <v>84</v>
      </c>
      <c r="C58" t="s">
        <v>161</v>
      </c>
      <c r="D58" t="s">
        <v>76</v>
      </c>
      <c r="E58" t="s">
        <v>578</v>
      </c>
      <c r="F58" t="s">
        <v>579</v>
      </c>
      <c r="G58" t="s">
        <v>657</v>
      </c>
      <c r="H58" t="s">
        <v>385</v>
      </c>
      <c r="I58">
        <v>382</v>
      </c>
      <c r="J58">
        <v>32</v>
      </c>
      <c r="K58" t="s">
        <v>389</v>
      </c>
      <c r="L58">
        <v>8264</v>
      </c>
      <c r="M58" t="s">
        <v>332</v>
      </c>
      <c r="N58" t="s">
        <v>400</v>
      </c>
      <c r="O58">
        <v>1</v>
      </c>
      <c r="P58">
        <v>1</v>
      </c>
      <c r="Q58">
        <v>-99</v>
      </c>
      <c r="R58" t="s">
        <v>681</v>
      </c>
    </row>
    <row r="59" spans="1:18" x14ac:dyDescent="0.2">
      <c r="A59">
        <v>58</v>
      </c>
      <c r="B59">
        <v>-99</v>
      </c>
      <c r="C59" t="s">
        <v>161</v>
      </c>
      <c r="D59" t="s">
        <v>76</v>
      </c>
      <c r="E59" t="s">
        <v>580</v>
      </c>
      <c r="F59" t="s">
        <v>490</v>
      </c>
      <c r="G59" t="s">
        <v>657</v>
      </c>
      <c r="H59" t="s">
        <v>385</v>
      </c>
      <c r="I59">
        <v>382</v>
      </c>
      <c r="J59">
        <v>32</v>
      </c>
      <c r="K59" t="s">
        <v>389</v>
      </c>
      <c r="L59">
        <v>8264</v>
      </c>
      <c r="M59" t="s">
        <v>332</v>
      </c>
      <c r="N59" t="s">
        <v>400</v>
      </c>
      <c r="O59">
        <v>-99</v>
      </c>
      <c r="P59">
        <v>1</v>
      </c>
      <c r="Q59">
        <v>-99</v>
      </c>
      <c r="R59" t="s">
        <v>653</v>
      </c>
    </row>
    <row r="60" spans="1:18" x14ac:dyDescent="0.2">
      <c r="A60">
        <v>59</v>
      </c>
      <c r="B60">
        <v>-99</v>
      </c>
      <c r="C60" t="s">
        <v>161</v>
      </c>
      <c r="D60" t="s">
        <v>76</v>
      </c>
      <c r="E60" t="s">
        <v>581</v>
      </c>
      <c r="F60" t="s">
        <v>212</v>
      </c>
      <c r="G60" t="s">
        <v>657</v>
      </c>
      <c r="H60" t="s">
        <v>385</v>
      </c>
      <c r="I60">
        <v>382</v>
      </c>
      <c r="J60">
        <v>32</v>
      </c>
      <c r="K60" t="s">
        <v>389</v>
      </c>
      <c r="L60">
        <v>8264</v>
      </c>
      <c r="M60" t="s">
        <v>332</v>
      </c>
      <c r="N60" t="s">
        <v>400</v>
      </c>
      <c r="O60">
        <v>-99</v>
      </c>
      <c r="P60">
        <v>1</v>
      </c>
      <c r="Q60">
        <v>-99</v>
      </c>
      <c r="R60" t="s">
        <v>208</v>
      </c>
    </row>
    <row r="61" spans="1:18" x14ac:dyDescent="0.2">
      <c r="A61">
        <v>60</v>
      </c>
      <c r="B61">
        <v>100</v>
      </c>
      <c r="C61" t="s">
        <v>162</v>
      </c>
      <c r="D61" t="s">
        <v>40</v>
      </c>
      <c r="E61" t="s">
        <v>582</v>
      </c>
      <c r="F61" t="s">
        <v>583</v>
      </c>
      <c r="G61" t="s">
        <v>659</v>
      </c>
      <c r="H61" t="s">
        <v>401</v>
      </c>
      <c r="I61">
        <v>383</v>
      </c>
      <c r="J61">
        <v>33</v>
      </c>
      <c r="K61" t="s">
        <v>384</v>
      </c>
      <c r="L61">
        <v>8268</v>
      </c>
      <c r="M61" t="s">
        <v>349</v>
      </c>
      <c r="N61" t="s">
        <v>402</v>
      </c>
      <c r="O61">
        <v>1</v>
      </c>
      <c r="P61">
        <v>2</v>
      </c>
      <c r="Q61">
        <v>-99</v>
      </c>
      <c r="R61" t="s">
        <v>681</v>
      </c>
    </row>
    <row r="62" spans="1:18" x14ac:dyDescent="0.2">
      <c r="A62">
        <v>61</v>
      </c>
      <c r="B62">
        <v>101</v>
      </c>
      <c r="C62" t="s">
        <v>163</v>
      </c>
      <c r="D62" t="s">
        <v>31</v>
      </c>
      <c r="E62" t="s">
        <v>584</v>
      </c>
      <c r="F62" t="s">
        <v>585</v>
      </c>
      <c r="G62" t="s">
        <v>659</v>
      </c>
      <c r="H62" t="s">
        <v>401</v>
      </c>
      <c r="I62">
        <v>383</v>
      </c>
      <c r="J62">
        <v>34</v>
      </c>
      <c r="K62" t="s">
        <v>403</v>
      </c>
      <c r="L62">
        <v>8269</v>
      </c>
      <c r="M62" t="s">
        <v>317</v>
      </c>
      <c r="N62" t="s">
        <v>404</v>
      </c>
      <c r="O62">
        <v>1</v>
      </c>
      <c r="P62">
        <v>2</v>
      </c>
      <c r="Q62">
        <v>-99</v>
      </c>
      <c r="R62" t="s">
        <v>681</v>
      </c>
    </row>
    <row r="63" spans="1:18" x14ac:dyDescent="0.2">
      <c r="A63">
        <v>62</v>
      </c>
      <c r="B63">
        <v>102</v>
      </c>
      <c r="C63" t="s">
        <v>164</v>
      </c>
      <c r="D63" t="s">
        <v>70</v>
      </c>
      <c r="E63" t="s">
        <v>586</v>
      </c>
      <c r="F63" t="s">
        <v>587</v>
      </c>
      <c r="G63" t="s">
        <v>659</v>
      </c>
      <c r="H63" t="s">
        <v>401</v>
      </c>
      <c r="I63">
        <v>383</v>
      </c>
      <c r="J63">
        <v>33</v>
      </c>
      <c r="K63" t="s">
        <v>384</v>
      </c>
      <c r="L63">
        <v>8270</v>
      </c>
      <c r="M63" t="s">
        <v>343</v>
      </c>
      <c r="N63" t="s">
        <v>405</v>
      </c>
      <c r="O63">
        <v>1</v>
      </c>
      <c r="P63">
        <v>1</v>
      </c>
      <c r="Q63">
        <v>-99</v>
      </c>
      <c r="R63" t="s">
        <v>681</v>
      </c>
    </row>
    <row r="64" spans="1:18" x14ac:dyDescent="0.2">
      <c r="A64">
        <v>63</v>
      </c>
      <c r="B64">
        <v>-99</v>
      </c>
      <c r="C64" t="s">
        <v>164</v>
      </c>
      <c r="D64" t="s">
        <v>70</v>
      </c>
      <c r="E64" t="s">
        <v>588</v>
      </c>
      <c r="F64" t="s">
        <v>211</v>
      </c>
      <c r="G64" t="s">
        <v>659</v>
      </c>
      <c r="H64" t="s">
        <v>401</v>
      </c>
      <c r="I64">
        <v>383</v>
      </c>
      <c r="J64">
        <v>33</v>
      </c>
      <c r="K64" t="s">
        <v>384</v>
      </c>
      <c r="L64">
        <v>8270</v>
      </c>
      <c r="M64" t="s">
        <v>343</v>
      </c>
      <c r="N64" t="s">
        <v>405</v>
      </c>
      <c r="O64">
        <v>-99</v>
      </c>
      <c r="P64">
        <v>1</v>
      </c>
      <c r="Q64">
        <v>-99</v>
      </c>
      <c r="R64" t="s">
        <v>678</v>
      </c>
    </row>
    <row r="65" spans="1:18" x14ac:dyDescent="0.2">
      <c r="A65">
        <v>64</v>
      </c>
      <c r="B65">
        <v>103</v>
      </c>
      <c r="C65" t="s">
        <v>165</v>
      </c>
      <c r="D65" t="s">
        <v>62</v>
      </c>
      <c r="E65" t="s">
        <v>589</v>
      </c>
      <c r="F65" t="s">
        <v>590</v>
      </c>
      <c r="G65" t="s">
        <v>659</v>
      </c>
      <c r="H65" t="s">
        <v>401</v>
      </c>
      <c r="I65">
        <v>383</v>
      </c>
      <c r="J65">
        <v>34</v>
      </c>
      <c r="K65" t="s">
        <v>403</v>
      </c>
      <c r="L65">
        <v>8272</v>
      </c>
      <c r="M65" t="s">
        <v>331</v>
      </c>
      <c r="N65" t="s">
        <v>406</v>
      </c>
      <c r="O65">
        <v>1</v>
      </c>
      <c r="P65">
        <v>2</v>
      </c>
      <c r="Q65">
        <v>-99</v>
      </c>
      <c r="R65" t="s">
        <v>681</v>
      </c>
    </row>
    <row r="66" spans="1:18" x14ac:dyDescent="0.2">
      <c r="A66">
        <v>65</v>
      </c>
      <c r="B66">
        <v>104</v>
      </c>
      <c r="C66" t="s">
        <v>166</v>
      </c>
      <c r="D66" t="s">
        <v>52</v>
      </c>
      <c r="E66" t="s">
        <v>591</v>
      </c>
      <c r="F66" t="s">
        <v>592</v>
      </c>
      <c r="G66" t="s">
        <v>659</v>
      </c>
      <c r="H66" t="s">
        <v>401</v>
      </c>
      <c r="I66">
        <v>383</v>
      </c>
      <c r="J66">
        <v>34</v>
      </c>
      <c r="K66" t="s">
        <v>403</v>
      </c>
      <c r="L66">
        <v>8221</v>
      </c>
      <c r="M66" t="s">
        <v>331</v>
      </c>
      <c r="N66" t="s">
        <v>406</v>
      </c>
      <c r="O66">
        <v>1</v>
      </c>
      <c r="P66">
        <v>2</v>
      </c>
      <c r="Q66">
        <v>-99</v>
      </c>
      <c r="R66" t="s">
        <v>681</v>
      </c>
    </row>
    <row r="67" spans="1:18" x14ac:dyDescent="0.2">
      <c r="A67">
        <v>66</v>
      </c>
      <c r="B67">
        <v>196</v>
      </c>
      <c r="C67" t="s">
        <v>167</v>
      </c>
      <c r="D67" t="s">
        <v>64</v>
      </c>
      <c r="E67" t="s">
        <v>593</v>
      </c>
      <c r="F67" t="s">
        <v>594</v>
      </c>
      <c r="G67" t="s">
        <v>659</v>
      </c>
      <c r="H67" t="s">
        <v>401</v>
      </c>
      <c r="I67">
        <v>383</v>
      </c>
      <c r="J67">
        <v>34</v>
      </c>
      <c r="K67" t="s">
        <v>403</v>
      </c>
      <c r="L67">
        <v>8202</v>
      </c>
      <c r="M67" t="s">
        <v>344</v>
      </c>
      <c r="N67" t="s">
        <v>425</v>
      </c>
      <c r="O67">
        <v>1</v>
      </c>
      <c r="P67">
        <v>2</v>
      </c>
      <c r="Q67">
        <v>-99</v>
      </c>
      <c r="R67" t="s">
        <v>681</v>
      </c>
    </row>
    <row r="68" spans="1:18" x14ac:dyDescent="0.2">
      <c r="A68">
        <v>67</v>
      </c>
      <c r="B68">
        <v>110</v>
      </c>
      <c r="C68" t="s">
        <v>168</v>
      </c>
      <c r="D68" t="s">
        <v>73</v>
      </c>
      <c r="E68" t="s">
        <v>595</v>
      </c>
      <c r="F68" t="s">
        <v>596</v>
      </c>
      <c r="G68" t="s">
        <v>659</v>
      </c>
      <c r="H68" t="s">
        <v>401</v>
      </c>
      <c r="I68">
        <v>383</v>
      </c>
      <c r="J68">
        <v>34</v>
      </c>
      <c r="K68" t="s">
        <v>403</v>
      </c>
      <c r="L68">
        <v>8203</v>
      </c>
      <c r="M68" t="s">
        <v>328</v>
      </c>
      <c r="N68" t="s">
        <v>80</v>
      </c>
      <c r="O68">
        <v>1</v>
      </c>
      <c r="P68">
        <v>1</v>
      </c>
      <c r="Q68">
        <v>-99</v>
      </c>
      <c r="R68" t="s">
        <v>681</v>
      </c>
    </row>
    <row r="69" spans="1:18" x14ac:dyDescent="0.2">
      <c r="A69">
        <v>68</v>
      </c>
      <c r="B69">
        <v>-99</v>
      </c>
      <c r="C69" t="s">
        <v>168</v>
      </c>
      <c r="D69" t="s">
        <v>73</v>
      </c>
      <c r="E69" t="s">
        <v>597</v>
      </c>
      <c r="F69" t="s">
        <v>598</v>
      </c>
      <c r="G69" t="s">
        <v>659</v>
      </c>
      <c r="H69" t="s">
        <v>401</v>
      </c>
      <c r="I69">
        <v>383</v>
      </c>
      <c r="J69">
        <v>34</v>
      </c>
      <c r="K69" t="s">
        <v>403</v>
      </c>
      <c r="L69">
        <v>8203</v>
      </c>
      <c r="M69" t="s">
        <v>328</v>
      </c>
      <c r="N69" t="s">
        <v>80</v>
      </c>
      <c r="O69">
        <v>-99</v>
      </c>
      <c r="P69">
        <v>1</v>
      </c>
      <c r="Q69">
        <v>-99</v>
      </c>
      <c r="R69" t="s">
        <v>397</v>
      </c>
    </row>
    <row r="70" spans="1:18" x14ac:dyDescent="0.2">
      <c r="A70">
        <v>69</v>
      </c>
      <c r="B70">
        <v>111</v>
      </c>
      <c r="C70" t="s">
        <v>169</v>
      </c>
      <c r="D70" t="s">
        <v>34</v>
      </c>
      <c r="E70" t="s">
        <v>599</v>
      </c>
      <c r="F70" t="s">
        <v>600</v>
      </c>
      <c r="G70" t="s">
        <v>659</v>
      </c>
      <c r="H70" t="s">
        <v>401</v>
      </c>
      <c r="I70">
        <v>383</v>
      </c>
      <c r="J70">
        <v>34</v>
      </c>
      <c r="K70" t="s">
        <v>403</v>
      </c>
      <c r="L70">
        <v>8204</v>
      </c>
      <c r="M70" t="s">
        <v>333</v>
      </c>
      <c r="N70" t="s">
        <v>407</v>
      </c>
      <c r="O70">
        <v>1</v>
      </c>
      <c r="P70">
        <v>2</v>
      </c>
      <c r="Q70">
        <v>-99</v>
      </c>
      <c r="R70" t="s">
        <v>681</v>
      </c>
    </row>
    <row r="71" spans="1:18" x14ac:dyDescent="0.2">
      <c r="A71">
        <v>70</v>
      </c>
      <c r="B71">
        <v>112</v>
      </c>
      <c r="C71" t="s">
        <v>170</v>
      </c>
      <c r="D71" t="s">
        <v>66</v>
      </c>
      <c r="E71" t="s">
        <v>601</v>
      </c>
      <c r="F71" t="s">
        <v>602</v>
      </c>
      <c r="G71" t="s">
        <v>659</v>
      </c>
      <c r="H71" t="s">
        <v>401</v>
      </c>
      <c r="I71">
        <v>383</v>
      </c>
      <c r="J71">
        <v>34</v>
      </c>
      <c r="K71" t="s">
        <v>403</v>
      </c>
      <c r="L71">
        <v>8205</v>
      </c>
      <c r="M71" t="s">
        <v>350</v>
      </c>
      <c r="N71" t="s">
        <v>408</v>
      </c>
      <c r="O71">
        <v>1</v>
      </c>
      <c r="P71">
        <v>2</v>
      </c>
      <c r="Q71">
        <v>-99</v>
      </c>
      <c r="R71" t="s">
        <v>681</v>
      </c>
    </row>
    <row r="72" spans="1:18" x14ac:dyDescent="0.2">
      <c r="A72">
        <v>71</v>
      </c>
      <c r="B72">
        <v>113</v>
      </c>
      <c r="C72" t="s">
        <v>171</v>
      </c>
      <c r="D72" t="s">
        <v>79</v>
      </c>
      <c r="E72" t="s">
        <v>603</v>
      </c>
      <c r="F72" t="s">
        <v>604</v>
      </c>
      <c r="G72" t="s">
        <v>657</v>
      </c>
      <c r="H72" t="s">
        <v>385</v>
      </c>
      <c r="I72">
        <v>382</v>
      </c>
      <c r="J72">
        <v>33</v>
      </c>
      <c r="K72" t="s">
        <v>384</v>
      </c>
      <c r="L72">
        <v>8206</v>
      </c>
      <c r="M72" t="s">
        <v>326</v>
      </c>
      <c r="N72" t="s">
        <v>409</v>
      </c>
      <c r="O72">
        <v>1</v>
      </c>
      <c r="P72">
        <v>2</v>
      </c>
      <c r="Q72">
        <v>-99</v>
      </c>
      <c r="R72" t="s">
        <v>681</v>
      </c>
    </row>
    <row r="73" spans="1:18" x14ac:dyDescent="0.2">
      <c r="A73">
        <v>72</v>
      </c>
      <c r="B73">
        <v>114</v>
      </c>
      <c r="C73" t="s">
        <v>172</v>
      </c>
      <c r="D73" t="s">
        <v>51</v>
      </c>
      <c r="E73" t="s">
        <v>605</v>
      </c>
      <c r="F73" t="s">
        <v>606</v>
      </c>
      <c r="G73" t="s">
        <v>657</v>
      </c>
      <c r="H73" t="s">
        <v>385</v>
      </c>
      <c r="I73">
        <v>382</v>
      </c>
      <c r="J73">
        <v>33</v>
      </c>
      <c r="K73" t="s">
        <v>384</v>
      </c>
      <c r="L73">
        <v>8207</v>
      </c>
      <c r="M73" t="s">
        <v>314</v>
      </c>
      <c r="N73" t="s">
        <v>410</v>
      </c>
      <c r="O73">
        <v>1</v>
      </c>
      <c r="P73">
        <v>2</v>
      </c>
      <c r="Q73">
        <v>-99</v>
      </c>
      <c r="R73" t="s">
        <v>681</v>
      </c>
    </row>
    <row r="74" spans="1:18" x14ac:dyDescent="0.2">
      <c r="A74">
        <v>73</v>
      </c>
      <c r="B74">
        <v>115</v>
      </c>
      <c r="C74" t="s">
        <v>173</v>
      </c>
      <c r="D74" t="s">
        <v>27</v>
      </c>
      <c r="E74" t="s">
        <v>607</v>
      </c>
      <c r="F74" t="s">
        <v>608</v>
      </c>
      <c r="G74" t="s">
        <v>657</v>
      </c>
      <c r="H74" t="s">
        <v>385</v>
      </c>
      <c r="I74">
        <v>382</v>
      </c>
      <c r="J74">
        <v>33</v>
      </c>
      <c r="K74" t="s">
        <v>384</v>
      </c>
      <c r="L74">
        <v>8208</v>
      </c>
      <c r="M74" t="s">
        <v>337</v>
      </c>
      <c r="N74" t="s">
        <v>411</v>
      </c>
      <c r="O74">
        <v>1</v>
      </c>
      <c r="P74">
        <v>2</v>
      </c>
      <c r="Q74">
        <v>-99</v>
      </c>
      <c r="R74" t="s">
        <v>681</v>
      </c>
    </row>
    <row r="75" spans="1:18" x14ac:dyDescent="0.2">
      <c r="A75">
        <v>74</v>
      </c>
      <c r="B75">
        <v>116</v>
      </c>
      <c r="C75" t="s">
        <v>174</v>
      </c>
      <c r="D75" t="s">
        <v>68</v>
      </c>
      <c r="E75" t="s">
        <v>609</v>
      </c>
      <c r="F75" t="s">
        <v>610</v>
      </c>
      <c r="G75" t="s">
        <v>659</v>
      </c>
      <c r="H75" t="s">
        <v>401</v>
      </c>
      <c r="I75">
        <v>383</v>
      </c>
      <c r="J75">
        <v>34</v>
      </c>
      <c r="K75" t="s">
        <v>403</v>
      </c>
      <c r="L75">
        <v>8210</v>
      </c>
      <c r="M75" t="s">
        <v>327</v>
      </c>
      <c r="N75" t="s">
        <v>412</v>
      </c>
      <c r="O75">
        <v>1</v>
      </c>
      <c r="P75">
        <v>2</v>
      </c>
      <c r="Q75">
        <v>-99</v>
      </c>
      <c r="R75" t="s">
        <v>681</v>
      </c>
    </row>
    <row r="76" spans="1:18" x14ac:dyDescent="0.2">
      <c r="A76">
        <v>75</v>
      </c>
      <c r="B76">
        <v>197</v>
      </c>
      <c r="C76" t="s">
        <v>175</v>
      </c>
      <c r="D76" t="s">
        <v>72</v>
      </c>
      <c r="E76" t="s">
        <v>611</v>
      </c>
      <c r="F76" t="s">
        <v>612</v>
      </c>
      <c r="G76" t="s">
        <v>656</v>
      </c>
      <c r="H76" t="s">
        <v>376</v>
      </c>
      <c r="I76">
        <v>381</v>
      </c>
      <c r="J76">
        <v>31</v>
      </c>
      <c r="K76" t="s">
        <v>379</v>
      </c>
      <c r="L76">
        <v>8211</v>
      </c>
      <c r="M76" t="s">
        <v>330</v>
      </c>
      <c r="N76" t="s">
        <v>426</v>
      </c>
      <c r="O76">
        <v>1</v>
      </c>
      <c r="P76">
        <v>2</v>
      </c>
      <c r="Q76">
        <v>-99</v>
      </c>
      <c r="R76" t="s">
        <v>681</v>
      </c>
    </row>
    <row r="77" spans="1:18" x14ac:dyDescent="0.2">
      <c r="A77">
        <v>76</v>
      </c>
      <c r="B77">
        <v>119</v>
      </c>
      <c r="C77" t="s">
        <v>176</v>
      </c>
      <c r="D77" t="s">
        <v>55</v>
      </c>
      <c r="E77" t="s">
        <v>613</v>
      </c>
      <c r="F77" t="s">
        <v>614</v>
      </c>
      <c r="G77" t="s">
        <v>659</v>
      </c>
      <c r="H77" t="s">
        <v>401</v>
      </c>
      <c r="I77">
        <v>383</v>
      </c>
      <c r="J77">
        <v>34</v>
      </c>
      <c r="K77" t="s">
        <v>403</v>
      </c>
      <c r="L77">
        <v>8223</v>
      </c>
      <c r="M77" t="s">
        <v>615</v>
      </c>
      <c r="N77" t="s">
        <v>616</v>
      </c>
      <c r="O77">
        <v>1</v>
      </c>
      <c r="P77">
        <v>2</v>
      </c>
      <c r="Q77">
        <v>-99</v>
      </c>
      <c r="R77" t="s">
        <v>681</v>
      </c>
    </row>
    <row r="78" spans="1:18" x14ac:dyDescent="0.2">
      <c r="A78">
        <v>77</v>
      </c>
      <c r="B78">
        <v>131</v>
      </c>
      <c r="C78" t="s">
        <v>177</v>
      </c>
      <c r="D78" t="s">
        <v>46</v>
      </c>
      <c r="E78" t="s">
        <v>617</v>
      </c>
      <c r="F78" t="s">
        <v>618</v>
      </c>
      <c r="G78" t="s">
        <v>657</v>
      </c>
      <c r="H78" t="s">
        <v>385</v>
      </c>
      <c r="I78">
        <v>382</v>
      </c>
      <c r="J78">
        <v>33</v>
      </c>
      <c r="K78" t="s">
        <v>384</v>
      </c>
      <c r="L78">
        <v>8226</v>
      </c>
      <c r="M78" t="s">
        <v>326</v>
      </c>
      <c r="N78" t="s">
        <v>409</v>
      </c>
      <c r="O78">
        <v>1</v>
      </c>
      <c r="P78">
        <v>2</v>
      </c>
      <c r="Q78">
        <v>-99</v>
      </c>
      <c r="R78" t="s">
        <v>681</v>
      </c>
    </row>
    <row r="79" spans="1:18" x14ac:dyDescent="0.2">
      <c r="A79">
        <v>78</v>
      </c>
      <c r="B79">
        <v>132</v>
      </c>
      <c r="C79" t="s">
        <v>668</v>
      </c>
      <c r="D79" t="s">
        <v>429</v>
      </c>
      <c r="E79" t="s">
        <v>619</v>
      </c>
      <c r="F79" t="s">
        <v>669</v>
      </c>
      <c r="G79" t="s">
        <v>656</v>
      </c>
      <c r="H79" t="s">
        <v>376</v>
      </c>
      <c r="I79">
        <v>381</v>
      </c>
      <c r="J79">
        <v>30</v>
      </c>
      <c r="K79" t="s">
        <v>368</v>
      </c>
      <c r="L79">
        <v>8229</v>
      </c>
      <c r="M79" t="s">
        <v>345</v>
      </c>
      <c r="N79" t="s">
        <v>413</v>
      </c>
      <c r="O79">
        <v>1</v>
      </c>
      <c r="P79">
        <v>2</v>
      </c>
      <c r="Q79">
        <v>-99</v>
      </c>
      <c r="R79" t="s">
        <v>681</v>
      </c>
    </row>
    <row r="80" spans="1:18" x14ac:dyDescent="0.2">
      <c r="A80">
        <v>79</v>
      </c>
      <c r="B80">
        <v>143</v>
      </c>
      <c r="C80" t="s">
        <v>178</v>
      </c>
      <c r="D80" t="s">
        <v>54</v>
      </c>
      <c r="E80" t="s">
        <v>620</v>
      </c>
      <c r="F80" t="s">
        <v>621</v>
      </c>
      <c r="G80" t="s">
        <v>655</v>
      </c>
      <c r="H80" t="s">
        <v>369</v>
      </c>
      <c r="I80">
        <v>380</v>
      </c>
      <c r="J80">
        <v>30</v>
      </c>
      <c r="K80" t="s">
        <v>368</v>
      </c>
      <c r="L80">
        <v>8230</v>
      </c>
      <c r="M80" t="s">
        <v>358</v>
      </c>
      <c r="N80" t="s">
        <v>414</v>
      </c>
      <c r="O80">
        <v>1</v>
      </c>
      <c r="P80">
        <v>2</v>
      </c>
      <c r="Q80">
        <v>-99</v>
      </c>
      <c r="R80" t="s">
        <v>681</v>
      </c>
    </row>
    <row r="81" spans="1:18" x14ac:dyDescent="0.2">
      <c r="A81">
        <v>80</v>
      </c>
      <c r="B81">
        <v>144</v>
      </c>
      <c r="C81" t="s">
        <v>670</v>
      </c>
      <c r="D81" t="s">
        <v>488</v>
      </c>
      <c r="E81" t="s">
        <v>670</v>
      </c>
      <c r="F81" t="s">
        <v>488</v>
      </c>
      <c r="G81" t="s">
        <v>667</v>
      </c>
      <c r="H81" t="s">
        <v>8</v>
      </c>
      <c r="I81">
        <v>-99</v>
      </c>
      <c r="J81">
        <v>35</v>
      </c>
      <c r="K81" t="s">
        <v>8</v>
      </c>
      <c r="L81">
        <v>8215</v>
      </c>
      <c r="M81" t="s">
        <v>338</v>
      </c>
      <c r="N81" t="s">
        <v>396</v>
      </c>
      <c r="O81">
        <v>1</v>
      </c>
      <c r="P81">
        <v>2</v>
      </c>
      <c r="Q81">
        <v>-99</v>
      </c>
      <c r="R81" t="s">
        <v>653</v>
      </c>
    </row>
    <row r="82" spans="1:18" x14ac:dyDescent="0.2">
      <c r="A82">
        <v>81</v>
      </c>
      <c r="B82">
        <v>145</v>
      </c>
      <c r="C82" t="s">
        <v>179</v>
      </c>
      <c r="D82" t="s">
        <v>71</v>
      </c>
      <c r="E82" t="s">
        <v>622</v>
      </c>
      <c r="F82" t="s">
        <v>623</v>
      </c>
      <c r="G82" t="s">
        <v>659</v>
      </c>
      <c r="H82" t="s">
        <v>401</v>
      </c>
      <c r="I82">
        <v>383</v>
      </c>
      <c r="J82">
        <v>34</v>
      </c>
      <c r="K82" t="s">
        <v>403</v>
      </c>
      <c r="L82">
        <v>8231</v>
      </c>
      <c r="M82" t="s">
        <v>331</v>
      </c>
      <c r="N82" t="s">
        <v>406</v>
      </c>
      <c r="O82">
        <v>1</v>
      </c>
      <c r="P82">
        <v>1</v>
      </c>
      <c r="Q82">
        <v>-99</v>
      </c>
      <c r="R82" t="s">
        <v>681</v>
      </c>
    </row>
    <row r="83" spans="1:18" x14ac:dyDescent="0.2">
      <c r="A83">
        <v>82</v>
      </c>
      <c r="B83">
        <v>-99</v>
      </c>
      <c r="C83" t="s">
        <v>179</v>
      </c>
      <c r="D83" t="s">
        <v>71</v>
      </c>
      <c r="E83" t="s">
        <v>624</v>
      </c>
      <c r="F83" t="s">
        <v>955</v>
      </c>
      <c r="G83" t="s">
        <v>659</v>
      </c>
      <c r="H83" t="s">
        <v>401</v>
      </c>
      <c r="I83">
        <v>383</v>
      </c>
      <c r="J83">
        <v>34</v>
      </c>
      <c r="K83" t="s">
        <v>403</v>
      </c>
      <c r="L83">
        <v>8231</v>
      </c>
      <c r="M83" t="s">
        <v>331</v>
      </c>
      <c r="N83" t="s">
        <v>406</v>
      </c>
      <c r="O83">
        <v>-99</v>
      </c>
      <c r="P83">
        <v>1</v>
      </c>
      <c r="Q83">
        <v>-99</v>
      </c>
      <c r="R83" t="s">
        <v>679</v>
      </c>
    </row>
    <row r="84" spans="1:18" x14ac:dyDescent="0.2">
      <c r="A84">
        <v>83</v>
      </c>
      <c r="B84">
        <v>151</v>
      </c>
      <c r="C84" t="s">
        <v>671</v>
      </c>
      <c r="D84" t="s">
        <v>1055</v>
      </c>
      <c r="E84" t="s">
        <v>671</v>
      </c>
      <c r="F84" t="s">
        <v>489</v>
      </c>
      <c r="G84" t="s">
        <v>667</v>
      </c>
      <c r="H84" t="s">
        <v>8</v>
      </c>
      <c r="I84">
        <v>380</v>
      </c>
      <c r="J84">
        <v>35</v>
      </c>
      <c r="K84" t="s">
        <v>8</v>
      </c>
      <c r="L84">
        <v>3180155</v>
      </c>
      <c r="M84" t="s">
        <v>345</v>
      </c>
      <c r="N84" t="s">
        <v>413</v>
      </c>
      <c r="O84">
        <v>1</v>
      </c>
      <c r="P84">
        <v>2</v>
      </c>
      <c r="Q84">
        <v>-99</v>
      </c>
      <c r="R84" t="s">
        <v>653</v>
      </c>
    </row>
    <row r="85" spans="1:18" x14ac:dyDescent="0.2">
      <c r="A85">
        <v>84</v>
      </c>
      <c r="B85">
        <v>152</v>
      </c>
      <c r="C85" t="s">
        <v>180</v>
      </c>
      <c r="D85" t="s">
        <v>78</v>
      </c>
      <c r="E85" t="s">
        <v>625</v>
      </c>
      <c r="F85" t="s">
        <v>626</v>
      </c>
      <c r="G85" t="s">
        <v>655</v>
      </c>
      <c r="H85" t="s">
        <v>369</v>
      </c>
      <c r="I85">
        <v>380</v>
      </c>
      <c r="J85">
        <v>30</v>
      </c>
      <c r="K85" t="s">
        <v>368</v>
      </c>
      <c r="L85">
        <v>8234</v>
      </c>
      <c r="M85" t="s">
        <v>351</v>
      </c>
      <c r="N85" t="s">
        <v>415</v>
      </c>
      <c r="O85">
        <v>1</v>
      </c>
      <c r="P85">
        <v>2</v>
      </c>
      <c r="Q85">
        <v>-99</v>
      </c>
      <c r="R85" t="s">
        <v>681</v>
      </c>
    </row>
    <row r="86" spans="1:18" x14ac:dyDescent="0.2">
      <c r="A86">
        <v>85</v>
      </c>
      <c r="B86">
        <v>153</v>
      </c>
      <c r="C86" t="s">
        <v>89</v>
      </c>
      <c r="D86" t="s">
        <v>135</v>
      </c>
      <c r="E86" t="s">
        <v>627</v>
      </c>
      <c r="F86" t="s">
        <v>628</v>
      </c>
      <c r="G86" t="s">
        <v>655</v>
      </c>
      <c r="H86" t="s">
        <v>369</v>
      </c>
      <c r="I86">
        <v>380</v>
      </c>
      <c r="J86">
        <v>30</v>
      </c>
      <c r="K86" t="s">
        <v>368</v>
      </c>
      <c r="L86">
        <v>8236</v>
      </c>
      <c r="M86" t="s">
        <v>364</v>
      </c>
      <c r="N86" t="s">
        <v>416</v>
      </c>
      <c r="O86">
        <v>1</v>
      </c>
      <c r="P86">
        <v>2</v>
      </c>
      <c r="Q86">
        <v>-99</v>
      </c>
      <c r="R86" t="s">
        <v>681</v>
      </c>
    </row>
    <row r="87" spans="1:18" x14ac:dyDescent="0.2">
      <c r="A87">
        <v>86</v>
      </c>
      <c r="B87">
        <v>154</v>
      </c>
      <c r="C87" t="s">
        <v>182</v>
      </c>
      <c r="D87" t="s">
        <v>181</v>
      </c>
      <c r="E87" t="s">
        <v>629</v>
      </c>
      <c r="F87" t="s">
        <v>630</v>
      </c>
      <c r="G87" t="s">
        <v>659</v>
      </c>
      <c r="H87" t="s">
        <v>401</v>
      </c>
      <c r="I87">
        <v>383</v>
      </c>
      <c r="J87">
        <v>33</v>
      </c>
      <c r="K87" t="s">
        <v>384</v>
      </c>
      <c r="L87">
        <v>8265</v>
      </c>
      <c r="M87" t="s">
        <v>357</v>
      </c>
      <c r="N87" t="s">
        <v>417</v>
      </c>
      <c r="O87">
        <v>1</v>
      </c>
      <c r="P87">
        <v>2</v>
      </c>
      <c r="Q87">
        <v>-99</v>
      </c>
      <c r="R87" t="s">
        <v>681</v>
      </c>
    </row>
    <row r="88" spans="1:18" x14ac:dyDescent="0.2">
      <c r="A88">
        <v>87</v>
      </c>
      <c r="B88">
        <v>155</v>
      </c>
      <c r="C88" t="s">
        <v>183</v>
      </c>
      <c r="D88" t="s">
        <v>43</v>
      </c>
      <c r="E88" t="s">
        <v>631</v>
      </c>
      <c r="F88" t="s">
        <v>632</v>
      </c>
      <c r="G88" t="s">
        <v>657</v>
      </c>
      <c r="H88" t="s">
        <v>385</v>
      </c>
      <c r="I88">
        <v>382</v>
      </c>
      <c r="J88">
        <v>32</v>
      </c>
      <c r="K88" t="s">
        <v>389</v>
      </c>
      <c r="L88">
        <v>8266</v>
      </c>
      <c r="M88" t="s">
        <v>322</v>
      </c>
      <c r="N88" t="s">
        <v>418</v>
      </c>
      <c r="O88">
        <v>1</v>
      </c>
      <c r="P88">
        <v>2</v>
      </c>
      <c r="Q88">
        <v>-99</v>
      </c>
      <c r="R88" t="s">
        <v>681</v>
      </c>
    </row>
    <row r="89" spans="1:18" x14ac:dyDescent="0.2">
      <c r="A89">
        <v>88</v>
      </c>
      <c r="B89">
        <v>156</v>
      </c>
      <c r="C89" t="s">
        <v>184</v>
      </c>
      <c r="D89" t="s">
        <v>74</v>
      </c>
      <c r="E89" t="s">
        <v>633</v>
      </c>
      <c r="F89" t="s">
        <v>634</v>
      </c>
      <c r="G89" t="s">
        <v>657</v>
      </c>
      <c r="H89" t="s">
        <v>385</v>
      </c>
      <c r="I89">
        <v>382</v>
      </c>
      <c r="J89">
        <v>32</v>
      </c>
      <c r="K89" t="s">
        <v>389</v>
      </c>
      <c r="L89">
        <v>8267</v>
      </c>
      <c r="M89" t="s">
        <v>340</v>
      </c>
      <c r="N89" t="s">
        <v>419</v>
      </c>
      <c r="O89">
        <v>1</v>
      </c>
      <c r="P89">
        <v>2</v>
      </c>
      <c r="Q89">
        <v>-99</v>
      </c>
      <c r="R89" t="s">
        <v>681</v>
      </c>
    </row>
    <row r="90" spans="1:18" x14ac:dyDescent="0.2">
      <c r="A90">
        <v>89</v>
      </c>
      <c r="B90">
        <v>157</v>
      </c>
      <c r="C90" t="s">
        <v>672</v>
      </c>
      <c r="D90" t="s">
        <v>36</v>
      </c>
      <c r="E90" t="s">
        <v>635</v>
      </c>
      <c r="F90" t="s">
        <v>636</v>
      </c>
      <c r="G90" t="s">
        <v>659</v>
      </c>
      <c r="H90" t="s">
        <v>401</v>
      </c>
      <c r="I90">
        <v>383</v>
      </c>
      <c r="J90">
        <v>33</v>
      </c>
      <c r="K90" t="s">
        <v>384</v>
      </c>
      <c r="L90">
        <v>8271</v>
      </c>
      <c r="M90" t="s">
        <v>318</v>
      </c>
      <c r="N90" t="s">
        <v>420</v>
      </c>
      <c r="O90">
        <v>1</v>
      </c>
      <c r="P90">
        <v>2</v>
      </c>
      <c r="Q90">
        <v>-99</v>
      </c>
      <c r="R90" t="s">
        <v>681</v>
      </c>
    </row>
    <row r="91" spans="1:18" x14ac:dyDescent="0.2">
      <c r="A91">
        <v>90</v>
      </c>
      <c r="B91">
        <v>158</v>
      </c>
      <c r="C91" t="s">
        <v>185</v>
      </c>
      <c r="D91" t="s">
        <v>81</v>
      </c>
      <c r="E91" t="s">
        <v>637</v>
      </c>
      <c r="F91" t="s">
        <v>638</v>
      </c>
      <c r="G91" t="s">
        <v>657</v>
      </c>
      <c r="H91" t="s">
        <v>385</v>
      </c>
      <c r="I91">
        <v>382</v>
      </c>
      <c r="J91">
        <v>32</v>
      </c>
      <c r="K91" t="s">
        <v>389</v>
      </c>
      <c r="L91">
        <v>8209</v>
      </c>
      <c r="M91" t="s">
        <v>363</v>
      </c>
      <c r="N91" t="s">
        <v>421</v>
      </c>
      <c r="O91">
        <v>1</v>
      </c>
      <c r="P91">
        <v>2</v>
      </c>
      <c r="Q91">
        <v>-99</v>
      </c>
      <c r="R91" t="s">
        <v>681</v>
      </c>
    </row>
    <row r="92" spans="1:18" x14ac:dyDescent="0.2">
      <c r="A92">
        <v>91</v>
      </c>
      <c r="B92">
        <v>198</v>
      </c>
      <c r="C92" t="s">
        <v>186</v>
      </c>
      <c r="D92" t="s">
        <v>45</v>
      </c>
      <c r="E92" t="s">
        <v>639</v>
      </c>
      <c r="F92" t="s">
        <v>640</v>
      </c>
      <c r="G92" t="s">
        <v>659</v>
      </c>
      <c r="H92" t="s">
        <v>401</v>
      </c>
      <c r="I92">
        <v>383</v>
      </c>
      <c r="J92">
        <v>34</v>
      </c>
      <c r="K92" t="s">
        <v>403</v>
      </c>
      <c r="L92">
        <v>8224</v>
      </c>
      <c r="M92" t="s">
        <v>360</v>
      </c>
      <c r="N92" t="s">
        <v>427</v>
      </c>
      <c r="O92">
        <v>1</v>
      </c>
      <c r="P92">
        <v>2</v>
      </c>
      <c r="Q92">
        <v>-99</v>
      </c>
      <c r="R92" t="s">
        <v>681</v>
      </c>
    </row>
    <row r="93" spans="1:18" x14ac:dyDescent="0.2">
      <c r="A93">
        <v>92</v>
      </c>
      <c r="B93">
        <v>161</v>
      </c>
      <c r="C93" t="s">
        <v>187</v>
      </c>
      <c r="D93" t="s">
        <v>82</v>
      </c>
      <c r="E93" t="s">
        <v>641</v>
      </c>
      <c r="F93" t="s">
        <v>642</v>
      </c>
      <c r="G93" t="s">
        <v>655</v>
      </c>
      <c r="H93" t="s">
        <v>369</v>
      </c>
      <c r="I93">
        <v>380</v>
      </c>
      <c r="J93">
        <v>30</v>
      </c>
      <c r="K93" t="s">
        <v>368</v>
      </c>
      <c r="L93">
        <v>8225</v>
      </c>
      <c r="M93" t="s">
        <v>323</v>
      </c>
      <c r="N93" t="s">
        <v>422</v>
      </c>
      <c r="O93">
        <v>1</v>
      </c>
      <c r="P93">
        <v>2</v>
      </c>
      <c r="Q93">
        <v>-99</v>
      </c>
      <c r="R93" t="s">
        <v>681</v>
      </c>
    </row>
    <row r="94" spans="1:18" x14ac:dyDescent="0.2">
      <c r="A94">
        <v>93</v>
      </c>
      <c r="B94">
        <v>162</v>
      </c>
      <c r="C94" t="s">
        <v>188</v>
      </c>
      <c r="D94" t="s">
        <v>32</v>
      </c>
      <c r="E94" t="s">
        <v>643</v>
      </c>
      <c r="F94" t="s">
        <v>644</v>
      </c>
      <c r="G94" t="s">
        <v>659</v>
      </c>
      <c r="H94" t="s">
        <v>401</v>
      </c>
      <c r="I94">
        <v>383</v>
      </c>
      <c r="J94">
        <v>34</v>
      </c>
      <c r="K94" t="s">
        <v>403</v>
      </c>
      <c r="L94">
        <v>8227</v>
      </c>
      <c r="M94" t="s">
        <v>476</v>
      </c>
      <c r="N94" t="s">
        <v>423</v>
      </c>
      <c r="O94">
        <v>1</v>
      </c>
      <c r="P94">
        <v>2</v>
      </c>
      <c r="Q94">
        <v>-99</v>
      </c>
      <c r="R94" t="s">
        <v>681</v>
      </c>
    </row>
    <row r="95" spans="1:18" x14ac:dyDescent="0.2">
      <c r="A95">
        <v>94</v>
      </c>
      <c r="B95">
        <v>-99</v>
      </c>
      <c r="C95" t="s">
        <v>673</v>
      </c>
      <c r="D95" t="s">
        <v>8</v>
      </c>
      <c r="E95" t="s">
        <v>674</v>
      </c>
      <c r="F95" t="s">
        <v>224</v>
      </c>
      <c r="G95" t="s">
        <v>653</v>
      </c>
      <c r="H95" t="s">
        <v>8</v>
      </c>
      <c r="I95">
        <v>-99</v>
      </c>
      <c r="J95">
        <v>-99</v>
      </c>
      <c r="K95" t="s">
        <v>8</v>
      </c>
      <c r="L95">
        <v>-99</v>
      </c>
      <c r="M95" t="s">
        <v>653</v>
      </c>
      <c r="N95" t="s">
        <v>653</v>
      </c>
      <c r="O95">
        <v>-99</v>
      </c>
      <c r="P95">
        <v>-99</v>
      </c>
      <c r="Q95">
        <v>-99</v>
      </c>
      <c r="R95" t="s">
        <v>208</v>
      </c>
    </row>
    <row r="96" spans="1:18" x14ac:dyDescent="0.2">
      <c r="A96">
        <v>95</v>
      </c>
      <c r="B96">
        <v>-99</v>
      </c>
      <c r="C96" t="s">
        <v>673</v>
      </c>
      <c r="D96" t="s">
        <v>8</v>
      </c>
      <c r="E96" t="s">
        <v>675</v>
      </c>
      <c r="F96" t="s">
        <v>308</v>
      </c>
      <c r="G96" t="s">
        <v>653</v>
      </c>
      <c r="H96" t="s">
        <v>8</v>
      </c>
      <c r="I96">
        <v>-99</v>
      </c>
      <c r="J96">
        <v>-99</v>
      </c>
      <c r="K96" t="s">
        <v>8</v>
      </c>
      <c r="L96">
        <v>-99</v>
      </c>
      <c r="M96" t="s">
        <v>653</v>
      </c>
      <c r="N96" t="s">
        <v>653</v>
      </c>
      <c r="O96">
        <v>-99</v>
      </c>
      <c r="P96">
        <v>-99</v>
      </c>
      <c r="Q96">
        <v>-99</v>
      </c>
      <c r="R96" t="s">
        <v>678</v>
      </c>
    </row>
    <row r="97" spans="1:18" x14ac:dyDescent="0.2">
      <c r="A97">
        <v>96</v>
      </c>
      <c r="B97">
        <v>-99</v>
      </c>
      <c r="C97" t="s">
        <v>673</v>
      </c>
      <c r="D97" t="s">
        <v>8</v>
      </c>
      <c r="E97" t="s">
        <v>676</v>
      </c>
      <c r="F97" t="s">
        <v>307</v>
      </c>
      <c r="G97" t="s">
        <v>653</v>
      </c>
      <c r="H97" t="s">
        <v>8</v>
      </c>
      <c r="I97">
        <v>-99</v>
      </c>
      <c r="J97">
        <v>-99</v>
      </c>
      <c r="K97" t="s">
        <v>8</v>
      </c>
      <c r="L97">
        <v>-99</v>
      </c>
      <c r="M97" t="s">
        <v>653</v>
      </c>
      <c r="N97" t="s">
        <v>653</v>
      </c>
      <c r="O97">
        <v>-99</v>
      </c>
      <c r="P97">
        <v>-99</v>
      </c>
      <c r="Q97">
        <v>-99</v>
      </c>
      <c r="R97" t="s">
        <v>679</v>
      </c>
    </row>
    <row r="98" spans="1:18" x14ac:dyDescent="0.2">
      <c r="A98">
        <v>97</v>
      </c>
      <c r="B98">
        <v>-99</v>
      </c>
      <c r="C98" t="s">
        <v>665</v>
      </c>
      <c r="D98" t="s">
        <v>1054</v>
      </c>
      <c r="E98" t="s">
        <v>665</v>
      </c>
      <c r="F98" t="s">
        <v>1054</v>
      </c>
      <c r="G98" t="s">
        <v>653</v>
      </c>
      <c r="H98" t="s">
        <v>653</v>
      </c>
      <c r="I98">
        <v>-99</v>
      </c>
      <c r="J98">
        <v>35</v>
      </c>
      <c r="K98" t="s">
        <v>8</v>
      </c>
      <c r="L98">
        <v>-99</v>
      </c>
      <c r="M98" t="s">
        <v>653</v>
      </c>
      <c r="N98" t="s">
        <v>653</v>
      </c>
      <c r="O98">
        <v>-99</v>
      </c>
      <c r="P98">
        <v>-99</v>
      </c>
      <c r="Q98">
        <v>3</v>
      </c>
      <c r="R98" t="s">
        <v>653</v>
      </c>
    </row>
    <row r="99" spans="1:18" x14ac:dyDescent="0.2">
      <c r="A99">
        <v>98</v>
      </c>
      <c r="B99">
        <v>-99</v>
      </c>
      <c r="C99" t="s">
        <v>673</v>
      </c>
      <c r="D99" t="s">
        <v>8</v>
      </c>
      <c r="E99" t="s">
        <v>684</v>
      </c>
      <c r="F99" t="s">
        <v>685</v>
      </c>
      <c r="G99" t="s">
        <v>653</v>
      </c>
      <c r="H99" t="s">
        <v>8</v>
      </c>
      <c r="I99">
        <v>-99</v>
      </c>
      <c r="J99">
        <v>-99</v>
      </c>
      <c r="K99" t="s">
        <v>8</v>
      </c>
      <c r="L99">
        <v>-99</v>
      </c>
      <c r="M99" t="s">
        <v>653</v>
      </c>
      <c r="N99" t="s">
        <v>653</v>
      </c>
      <c r="O99">
        <v>-99</v>
      </c>
      <c r="P99">
        <v>-99</v>
      </c>
      <c r="Q99">
        <v>-99</v>
      </c>
      <c r="R99" t="s">
        <v>681</v>
      </c>
    </row>
    <row r="100" spans="1:18" x14ac:dyDescent="0.2">
      <c r="A100">
        <v>99</v>
      </c>
      <c r="B100">
        <v>250</v>
      </c>
      <c r="C100" t="s">
        <v>653</v>
      </c>
      <c r="D100" t="s">
        <v>32</v>
      </c>
      <c r="E100" t="s">
        <v>720</v>
      </c>
      <c r="F100" t="s">
        <v>686</v>
      </c>
      <c r="G100" t="s">
        <v>653</v>
      </c>
      <c r="H100" t="s">
        <v>401</v>
      </c>
      <c r="I100">
        <v>-99</v>
      </c>
      <c r="J100">
        <v>-99</v>
      </c>
      <c r="K100" t="s">
        <v>403</v>
      </c>
      <c r="L100">
        <v>-99</v>
      </c>
      <c r="M100" t="s">
        <v>653</v>
      </c>
      <c r="N100" t="s">
        <v>653</v>
      </c>
      <c r="O100">
        <v>-99</v>
      </c>
      <c r="P100">
        <v>-99</v>
      </c>
      <c r="Q100">
        <v>-99</v>
      </c>
      <c r="R100" t="s">
        <v>687</v>
      </c>
    </row>
    <row r="101" spans="1:18" x14ac:dyDescent="0.2">
      <c r="A101">
        <v>100</v>
      </c>
      <c r="B101">
        <v>256</v>
      </c>
      <c r="C101" t="s">
        <v>653</v>
      </c>
      <c r="D101" t="s">
        <v>212</v>
      </c>
      <c r="E101" t="s">
        <v>721</v>
      </c>
      <c r="F101" t="s">
        <v>688</v>
      </c>
      <c r="G101" t="s">
        <v>653</v>
      </c>
      <c r="H101" t="s">
        <v>385</v>
      </c>
      <c r="I101">
        <v>-99</v>
      </c>
      <c r="J101">
        <v>-99</v>
      </c>
      <c r="K101" t="s">
        <v>389</v>
      </c>
      <c r="L101">
        <v>-99</v>
      </c>
      <c r="M101" t="s">
        <v>653</v>
      </c>
      <c r="N101" t="s">
        <v>653</v>
      </c>
      <c r="O101">
        <v>-99</v>
      </c>
      <c r="P101">
        <v>-99</v>
      </c>
      <c r="Q101">
        <v>-99</v>
      </c>
      <c r="R101" t="s">
        <v>687</v>
      </c>
    </row>
    <row r="102" spans="1:18" x14ac:dyDescent="0.2">
      <c r="A102">
        <v>101</v>
      </c>
      <c r="B102">
        <v>257</v>
      </c>
      <c r="C102" t="s">
        <v>653</v>
      </c>
      <c r="D102" t="s">
        <v>209</v>
      </c>
      <c r="E102" t="s">
        <v>722</v>
      </c>
      <c r="F102" t="s">
        <v>689</v>
      </c>
      <c r="G102" t="s">
        <v>653</v>
      </c>
      <c r="H102" t="s">
        <v>385</v>
      </c>
      <c r="I102">
        <v>-99</v>
      </c>
      <c r="J102">
        <v>-99</v>
      </c>
      <c r="K102" t="s">
        <v>389</v>
      </c>
      <c r="L102">
        <v>-99</v>
      </c>
      <c r="M102" t="s">
        <v>653</v>
      </c>
      <c r="N102" t="s">
        <v>653</v>
      </c>
      <c r="O102">
        <v>-99</v>
      </c>
      <c r="P102">
        <v>-99</v>
      </c>
      <c r="Q102">
        <v>-99</v>
      </c>
      <c r="R102" t="s">
        <v>687</v>
      </c>
    </row>
    <row r="103" spans="1:18" x14ac:dyDescent="0.2">
      <c r="A103">
        <v>102</v>
      </c>
      <c r="B103">
        <v>258</v>
      </c>
      <c r="C103" t="s">
        <v>653</v>
      </c>
      <c r="D103" t="s">
        <v>210</v>
      </c>
      <c r="E103" t="s">
        <v>723</v>
      </c>
      <c r="F103" t="s">
        <v>690</v>
      </c>
      <c r="G103" t="s">
        <v>653</v>
      </c>
      <c r="H103" t="s">
        <v>369</v>
      </c>
      <c r="I103">
        <v>-99</v>
      </c>
      <c r="J103">
        <v>-99</v>
      </c>
      <c r="K103" t="s">
        <v>368</v>
      </c>
      <c r="L103">
        <v>-99</v>
      </c>
      <c r="M103" t="s">
        <v>653</v>
      </c>
      <c r="N103" t="s">
        <v>653</v>
      </c>
      <c r="O103">
        <v>-99</v>
      </c>
      <c r="P103">
        <v>-99</v>
      </c>
      <c r="Q103">
        <v>-99</v>
      </c>
      <c r="R103" t="s">
        <v>687</v>
      </c>
    </row>
    <row r="104" spans="1:18" x14ac:dyDescent="0.2">
      <c r="A104">
        <v>103</v>
      </c>
      <c r="B104">
        <v>259</v>
      </c>
      <c r="C104" t="s">
        <v>653</v>
      </c>
      <c r="D104" t="s">
        <v>135</v>
      </c>
      <c r="E104" t="s">
        <v>724</v>
      </c>
      <c r="F104" t="s">
        <v>691</v>
      </c>
      <c r="G104" t="s">
        <v>653</v>
      </c>
      <c r="H104" t="s">
        <v>369</v>
      </c>
      <c r="I104">
        <v>-99</v>
      </c>
      <c r="J104">
        <v>-99</v>
      </c>
      <c r="K104" t="s">
        <v>368</v>
      </c>
      <c r="L104">
        <v>-99</v>
      </c>
      <c r="M104" t="s">
        <v>653</v>
      </c>
      <c r="N104" t="s">
        <v>653</v>
      </c>
      <c r="O104">
        <v>-99</v>
      </c>
      <c r="P104">
        <v>-99</v>
      </c>
      <c r="Q104">
        <v>-99</v>
      </c>
      <c r="R104" t="s">
        <v>687</v>
      </c>
    </row>
    <row r="105" spans="1:18" x14ac:dyDescent="0.2">
      <c r="A105">
        <v>104</v>
      </c>
      <c r="B105">
        <v>260</v>
      </c>
      <c r="C105" t="s">
        <v>653</v>
      </c>
      <c r="D105" t="s">
        <v>46</v>
      </c>
      <c r="E105" t="s">
        <v>725</v>
      </c>
      <c r="F105" t="s">
        <v>692</v>
      </c>
      <c r="G105" t="s">
        <v>653</v>
      </c>
      <c r="H105" t="s">
        <v>385</v>
      </c>
      <c r="I105">
        <v>-99</v>
      </c>
      <c r="J105">
        <v>-99</v>
      </c>
      <c r="K105" t="s">
        <v>384</v>
      </c>
      <c r="L105">
        <v>-99</v>
      </c>
      <c r="M105" t="s">
        <v>653</v>
      </c>
      <c r="N105" t="s">
        <v>653</v>
      </c>
      <c r="O105">
        <v>-99</v>
      </c>
      <c r="P105">
        <v>-99</v>
      </c>
      <c r="Q105">
        <v>-99</v>
      </c>
      <c r="R105" t="s">
        <v>687</v>
      </c>
    </row>
    <row r="106" spans="1:18" x14ac:dyDescent="0.2">
      <c r="A106">
        <v>105</v>
      </c>
      <c r="B106">
        <v>261</v>
      </c>
      <c r="C106" t="s">
        <v>653</v>
      </c>
      <c r="D106" t="s">
        <v>65</v>
      </c>
      <c r="E106" t="s">
        <v>726</v>
      </c>
      <c r="F106" t="s">
        <v>693</v>
      </c>
      <c r="G106" t="s">
        <v>653</v>
      </c>
      <c r="H106" t="s">
        <v>369</v>
      </c>
      <c r="I106">
        <v>-99</v>
      </c>
      <c r="J106">
        <v>-99</v>
      </c>
      <c r="K106" t="s">
        <v>368</v>
      </c>
      <c r="L106">
        <v>-99</v>
      </c>
      <c r="M106" t="s">
        <v>653</v>
      </c>
      <c r="N106" t="s">
        <v>653</v>
      </c>
      <c r="O106">
        <v>-99</v>
      </c>
      <c r="P106">
        <v>-99</v>
      </c>
      <c r="Q106">
        <v>-99</v>
      </c>
      <c r="R106" t="s">
        <v>687</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462</v>
      </c>
      <c r="B1" t="s">
        <v>456</v>
      </c>
      <c r="C1" t="s">
        <v>463</v>
      </c>
      <c r="D1" t="s">
        <v>464</v>
      </c>
      <c r="E1" t="s">
        <v>491</v>
      </c>
    </row>
    <row r="2" spans="1:5" x14ac:dyDescent="0.2">
      <c r="A2" t="s">
        <v>324</v>
      </c>
      <c r="B2" t="s">
        <v>370</v>
      </c>
      <c r="C2" t="s">
        <v>370</v>
      </c>
      <c r="D2" t="s">
        <v>465</v>
      </c>
      <c r="E2" t="s">
        <v>368</v>
      </c>
    </row>
    <row r="3" spans="1:5" x14ac:dyDescent="0.2">
      <c r="A3" t="s">
        <v>356</v>
      </c>
      <c r="B3" t="s">
        <v>373</v>
      </c>
      <c r="C3" t="s">
        <v>373</v>
      </c>
      <c r="D3" t="s">
        <v>465</v>
      </c>
      <c r="E3" t="s">
        <v>368</v>
      </c>
    </row>
    <row r="4" spans="1:5" x14ac:dyDescent="0.2">
      <c r="A4" t="s">
        <v>351</v>
      </c>
      <c r="B4" t="s">
        <v>415</v>
      </c>
      <c r="C4" t="s">
        <v>415</v>
      </c>
      <c r="D4" t="s">
        <v>465</v>
      </c>
      <c r="E4" t="s">
        <v>368</v>
      </c>
    </row>
    <row r="5" spans="1:5" x14ac:dyDescent="0.2">
      <c r="A5" t="s">
        <v>330</v>
      </c>
      <c r="B5" t="s">
        <v>426</v>
      </c>
      <c r="C5" t="s">
        <v>426</v>
      </c>
      <c r="D5" t="s">
        <v>466</v>
      </c>
      <c r="E5" t="s">
        <v>379</v>
      </c>
    </row>
    <row r="6" spans="1:5" x14ac:dyDescent="0.2">
      <c r="A6" t="s">
        <v>354</v>
      </c>
      <c r="B6" t="s">
        <v>388</v>
      </c>
      <c r="C6" t="s">
        <v>388</v>
      </c>
      <c r="D6" t="s">
        <v>466</v>
      </c>
      <c r="E6" t="s">
        <v>384</v>
      </c>
    </row>
    <row r="7" spans="1:5" x14ac:dyDescent="0.2">
      <c r="A7" t="s">
        <v>357</v>
      </c>
      <c r="B7" t="s">
        <v>417</v>
      </c>
      <c r="C7" t="s">
        <v>417</v>
      </c>
      <c r="D7" t="s">
        <v>468</v>
      </c>
      <c r="E7" t="s">
        <v>384</v>
      </c>
    </row>
    <row r="8" spans="1:5" x14ac:dyDescent="0.2">
      <c r="A8" t="s">
        <v>332</v>
      </c>
      <c r="B8" t="s">
        <v>400</v>
      </c>
      <c r="C8" t="s">
        <v>400</v>
      </c>
      <c r="D8" t="s">
        <v>469</v>
      </c>
      <c r="E8" t="s">
        <v>389</v>
      </c>
    </row>
    <row r="9" spans="1:5" x14ac:dyDescent="0.2">
      <c r="A9" t="s">
        <v>349</v>
      </c>
      <c r="B9" t="s">
        <v>402</v>
      </c>
      <c r="C9" t="s">
        <v>402</v>
      </c>
      <c r="D9" t="s">
        <v>468</v>
      </c>
      <c r="E9" t="s">
        <v>384</v>
      </c>
    </row>
    <row r="10" spans="1:5" x14ac:dyDescent="0.2">
      <c r="A10" t="s">
        <v>477</v>
      </c>
      <c r="B10" t="s">
        <v>478</v>
      </c>
      <c r="C10" t="s">
        <v>309</v>
      </c>
      <c r="D10" t="s">
        <v>453</v>
      </c>
      <c r="E10" t="s">
        <v>8</v>
      </c>
    </row>
    <row r="11" spans="1:5" x14ac:dyDescent="0.2">
      <c r="A11" t="s">
        <v>358</v>
      </c>
      <c r="B11" t="s">
        <v>414</v>
      </c>
      <c r="C11" t="s">
        <v>414</v>
      </c>
      <c r="D11" t="s">
        <v>465</v>
      </c>
      <c r="E11" t="s">
        <v>368</v>
      </c>
    </row>
    <row r="12" spans="1:5" x14ac:dyDescent="0.2">
      <c r="A12" t="s">
        <v>336</v>
      </c>
      <c r="B12" t="s">
        <v>378</v>
      </c>
      <c r="C12" t="s">
        <v>378</v>
      </c>
      <c r="D12" t="s">
        <v>466</v>
      </c>
      <c r="E12" t="s">
        <v>368</v>
      </c>
    </row>
    <row r="13" spans="1:5" x14ac:dyDescent="0.2">
      <c r="A13" t="s">
        <v>341</v>
      </c>
      <c r="B13" t="s">
        <v>375</v>
      </c>
      <c r="C13" t="s">
        <v>375</v>
      </c>
      <c r="D13" t="s">
        <v>465</v>
      </c>
      <c r="E13" t="s">
        <v>368</v>
      </c>
    </row>
    <row r="14" spans="1:5" x14ac:dyDescent="0.2">
      <c r="A14" t="s">
        <v>339</v>
      </c>
      <c r="B14" t="s">
        <v>382</v>
      </c>
      <c r="C14" t="s">
        <v>382</v>
      </c>
      <c r="D14" t="s">
        <v>466</v>
      </c>
      <c r="E14" t="s">
        <v>379</v>
      </c>
    </row>
    <row r="15" spans="1:5" x14ac:dyDescent="0.2">
      <c r="A15" t="s">
        <v>329</v>
      </c>
      <c r="B15" t="s">
        <v>391</v>
      </c>
      <c r="C15" t="s">
        <v>391</v>
      </c>
      <c r="D15" t="s">
        <v>465</v>
      </c>
      <c r="E15" t="s">
        <v>389</v>
      </c>
    </row>
    <row r="16" spans="1:5" x14ac:dyDescent="0.2">
      <c r="A16" t="s">
        <v>343</v>
      </c>
      <c r="B16" t="s">
        <v>405</v>
      </c>
      <c r="C16" t="s">
        <v>405</v>
      </c>
      <c r="D16" t="s">
        <v>468</v>
      </c>
      <c r="E16" t="s">
        <v>384</v>
      </c>
    </row>
    <row r="17" spans="1:5" x14ac:dyDescent="0.2">
      <c r="A17" t="s">
        <v>479</v>
      </c>
      <c r="B17" t="s">
        <v>480</v>
      </c>
      <c r="C17" t="s">
        <v>309</v>
      </c>
      <c r="D17" t="s">
        <v>453</v>
      </c>
      <c r="E17" t="s">
        <v>8</v>
      </c>
    </row>
    <row r="18" spans="1:5" x14ac:dyDescent="0.2">
      <c r="A18" t="s">
        <v>355</v>
      </c>
      <c r="B18" t="s">
        <v>390</v>
      </c>
      <c r="C18" t="s">
        <v>390</v>
      </c>
      <c r="D18" t="s">
        <v>465</v>
      </c>
      <c r="E18" t="s">
        <v>389</v>
      </c>
    </row>
    <row r="19" spans="1:5" x14ac:dyDescent="0.2">
      <c r="A19" t="s">
        <v>348</v>
      </c>
      <c r="B19" t="s">
        <v>393</v>
      </c>
      <c r="C19" t="s">
        <v>393</v>
      </c>
      <c r="D19" t="s">
        <v>469</v>
      </c>
      <c r="E19" t="s">
        <v>389</v>
      </c>
    </row>
    <row r="20" spans="1:5" x14ac:dyDescent="0.2">
      <c r="A20" t="s">
        <v>338</v>
      </c>
      <c r="B20" t="s">
        <v>396</v>
      </c>
      <c r="C20" t="s">
        <v>396</v>
      </c>
      <c r="D20" t="s">
        <v>469</v>
      </c>
      <c r="E20" t="s">
        <v>389</v>
      </c>
    </row>
    <row r="21" spans="1:5" x14ac:dyDescent="0.2">
      <c r="A21" t="s">
        <v>363</v>
      </c>
      <c r="B21" t="s">
        <v>421</v>
      </c>
      <c r="C21" t="s">
        <v>421</v>
      </c>
      <c r="D21" t="s">
        <v>469</v>
      </c>
      <c r="E21" t="s">
        <v>389</v>
      </c>
    </row>
    <row r="22" spans="1:5" x14ac:dyDescent="0.2">
      <c r="A22" t="s">
        <v>334</v>
      </c>
      <c r="B22" t="s">
        <v>60</v>
      </c>
      <c r="C22" t="s">
        <v>60</v>
      </c>
      <c r="D22" t="s">
        <v>465</v>
      </c>
      <c r="E22" t="s">
        <v>368</v>
      </c>
    </row>
    <row r="23" spans="1:5" x14ac:dyDescent="0.2">
      <c r="A23" t="s">
        <v>347</v>
      </c>
      <c r="B23" t="s">
        <v>381</v>
      </c>
      <c r="C23" t="s">
        <v>381</v>
      </c>
      <c r="D23" t="s">
        <v>309</v>
      </c>
      <c r="E23" t="s">
        <v>368</v>
      </c>
    </row>
    <row r="24" spans="1:5" x14ac:dyDescent="0.2">
      <c r="A24" t="s">
        <v>342</v>
      </c>
      <c r="B24" t="s">
        <v>383</v>
      </c>
      <c r="C24" t="s">
        <v>383</v>
      </c>
      <c r="D24" t="s">
        <v>466</v>
      </c>
      <c r="E24" t="s">
        <v>379</v>
      </c>
    </row>
    <row r="25" spans="1:5" x14ac:dyDescent="0.2">
      <c r="A25" t="s">
        <v>340</v>
      </c>
      <c r="B25" t="s">
        <v>419</v>
      </c>
      <c r="C25" t="s">
        <v>419</v>
      </c>
      <c r="D25" t="s">
        <v>469</v>
      </c>
      <c r="E25" t="s">
        <v>389</v>
      </c>
    </row>
    <row r="26" spans="1:5" x14ac:dyDescent="0.2">
      <c r="A26" t="s">
        <v>317</v>
      </c>
      <c r="B26" t="s">
        <v>404</v>
      </c>
      <c r="C26" t="s">
        <v>404</v>
      </c>
      <c r="D26" t="s">
        <v>468</v>
      </c>
      <c r="E26" t="s">
        <v>403</v>
      </c>
    </row>
    <row r="27" spans="1:5" x14ac:dyDescent="0.2">
      <c r="A27" t="s">
        <v>318</v>
      </c>
      <c r="B27" t="s">
        <v>420</v>
      </c>
      <c r="C27" t="s">
        <v>420</v>
      </c>
      <c r="D27" t="s">
        <v>468</v>
      </c>
      <c r="E27" t="s">
        <v>384</v>
      </c>
    </row>
    <row r="28" spans="1:5" x14ac:dyDescent="0.2">
      <c r="A28" t="s">
        <v>352</v>
      </c>
      <c r="B28" t="s">
        <v>372</v>
      </c>
      <c r="C28" t="s">
        <v>372</v>
      </c>
      <c r="D28" t="s">
        <v>465</v>
      </c>
      <c r="E28" t="s">
        <v>368</v>
      </c>
    </row>
    <row r="29" spans="1:5" x14ac:dyDescent="0.2">
      <c r="A29" t="s">
        <v>467</v>
      </c>
      <c r="B29" t="s">
        <v>453</v>
      </c>
      <c r="C29" t="s">
        <v>309</v>
      </c>
      <c r="D29" t="s">
        <v>453</v>
      </c>
      <c r="E29" t="s">
        <v>8</v>
      </c>
    </row>
    <row r="30" spans="1:5" x14ac:dyDescent="0.2">
      <c r="A30" t="s">
        <v>364</v>
      </c>
      <c r="B30" t="s">
        <v>416</v>
      </c>
      <c r="C30" t="s">
        <v>416</v>
      </c>
      <c r="D30" t="s">
        <v>465</v>
      </c>
      <c r="E30" t="s">
        <v>368</v>
      </c>
    </row>
    <row r="31" spans="1:5" x14ac:dyDescent="0.2">
      <c r="A31" t="s">
        <v>345</v>
      </c>
      <c r="B31" t="s">
        <v>413</v>
      </c>
      <c r="C31" t="s">
        <v>413</v>
      </c>
      <c r="D31" t="s">
        <v>309</v>
      </c>
      <c r="E31" t="s">
        <v>368</v>
      </c>
    </row>
    <row r="32" spans="1:5" x14ac:dyDescent="0.2">
      <c r="A32" t="s">
        <v>325</v>
      </c>
      <c r="B32" t="s">
        <v>394</v>
      </c>
      <c r="C32" t="s">
        <v>394</v>
      </c>
      <c r="D32" t="s">
        <v>465</v>
      </c>
      <c r="E32" t="s">
        <v>389</v>
      </c>
    </row>
    <row r="33" spans="1:5" x14ac:dyDescent="0.2">
      <c r="A33" t="s">
        <v>322</v>
      </c>
      <c r="B33" t="s">
        <v>418</v>
      </c>
      <c r="C33" t="s">
        <v>418</v>
      </c>
      <c r="D33" t="s">
        <v>469</v>
      </c>
      <c r="E33" t="s">
        <v>389</v>
      </c>
    </row>
    <row r="34" spans="1:5" x14ac:dyDescent="0.2">
      <c r="A34" t="s">
        <v>344</v>
      </c>
      <c r="B34" t="s">
        <v>425</v>
      </c>
      <c r="C34" t="s">
        <v>425</v>
      </c>
      <c r="D34" t="s">
        <v>468</v>
      </c>
      <c r="E34" t="s">
        <v>403</v>
      </c>
    </row>
    <row r="35" spans="1:5" x14ac:dyDescent="0.2">
      <c r="A35" t="s">
        <v>333</v>
      </c>
      <c r="B35" t="s">
        <v>407</v>
      </c>
      <c r="C35" t="s">
        <v>407</v>
      </c>
      <c r="D35" t="s">
        <v>468</v>
      </c>
      <c r="E35" t="s">
        <v>403</v>
      </c>
    </row>
    <row r="36" spans="1:5" x14ac:dyDescent="0.2">
      <c r="A36" t="s">
        <v>360</v>
      </c>
      <c r="B36" t="s">
        <v>427</v>
      </c>
      <c r="C36" t="s">
        <v>427</v>
      </c>
      <c r="D36" t="s">
        <v>468</v>
      </c>
      <c r="E36" t="s">
        <v>403</v>
      </c>
    </row>
    <row r="37" spans="1:5" x14ac:dyDescent="0.2">
      <c r="A37" t="s">
        <v>476</v>
      </c>
      <c r="B37" t="s">
        <v>423</v>
      </c>
      <c r="C37" t="s">
        <v>423</v>
      </c>
      <c r="D37" t="s">
        <v>468</v>
      </c>
      <c r="E37" t="s">
        <v>403</v>
      </c>
    </row>
    <row r="38" spans="1:5" x14ac:dyDescent="0.2">
      <c r="A38" t="s">
        <v>474</v>
      </c>
      <c r="B38" t="s">
        <v>475</v>
      </c>
      <c r="C38" t="s">
        <v>309</v>
      </c>
      <c r="D38" t="s">
        <v>453</v>
      </c>
      <c r="E38" t="s">
        <v>8</v>
      </c>
    </row>
    <row r="39" spans="1:5" x14ac:dyDescent="0.2">
      <c r="A39" t="s">
        <v>350</v>
      </c>
      <c r="B39" t="s">
        <v>408</v>
      </c>
      <c r="C39" t="s">
        <v>408</v>
      </c>
      <c r="D39" t="s">
        <v>468</v>
      </c>
      <c r="E39" t="s">
        <v>403</v>
      </c>
    </row>
    <row r="40" spans="1:5" x14ac:dyDescent="0.2">
      <c r="A40" t="s">
        <v>483</v>
      </c>
      <c r="B40" t="s">
        <v>484</v>
      </c>
      <c r="C40" t="s">
        <v>309</v>
      </c>
      <c r="D40" t="s">
        <v>453</v>
      </c>
      <c r="E40" t="s">
        <v>8</v>
      </c>
    </row>
    <row r="41" spans="1:5" x14ac:dyDescent="0.2">
      <c r="A41" t="s">
        <v>470</v>
      </c>
      <c r="B41" t="s">
        <v>471</v>
      </c>
      <c r="C41" t="s">
        <v>309</v>
      </c>
      <c r="D41" t="s">
        <v>453</v>
      </c>
      <c r="E41" t="s">
        <v>8</v>
      </c>
    </row>
    <row r="42" spans="1:5" x14ac:dyDescent="0.2">
      <c r="A42" t="s">
        <v>359</v>
      </c>
      <c r="B42" t="s">
        <v>371</v>
      </c>
      <c r="C42" t="s">
        <v>371</v>
      </c>
      <c r="D42" t="s">
        <v>465</v>
      </c>
      <c r="E42" t="s">
        <v>368</v>
      </c>
    </row>
    <row r="43" spans="1:5" x14ac:dyDescent="0.2">
      <c r="A43" t="s">
        <v>320</v>
      </c>
      <c r="B43" t="s">
        <v>377</v>
      </c>
      <c r="C43" t="s">
        <v>377</v>
      </c>
      <c r="D43" t="s">
        <v>466</v>
      </c>
      <c r="E43" t="s">
        <v>368</v>
      </c>
    </row>
    <row r="44" spans="1:5" x14ac:dyDescent="0.2">
      <c r="A44" t="s">
        <v>323</v>
      </c>
      <c r="B44" t="s">
        <v>422</v>
      </c>
      <c r="C44" t="s">
        <v>422</v>
      </c>
      <c r="D44" t="s">
        <v>465</v>
      </c>
      <c r="E44" t="s">
        <v>368</v>
      </c>
    </row>
    <row r="45" spans="1:5" x14ac:dyDescent="0.2">
      <c r="A45" t="s">
        <v>353</v>
      </c>
      <c r="B45" t="s">
        <v>387</v>
      </c>
      <c r="C45" t="s">
        <v>387</v>
      </c>
      <c r="D45" t="s">
        <v>466</v>
      </c>
      <c r="E45" t="s">
        <v>379</v>
      </c>
    </row>
    <row r="46" spans="1:5" x14ac:dyDescent="0.2">
      <c r="A46" t="s">
        <v>335</v>
      </c>
      <c r="B46" t="s">
        <v>392</v>
      </c>
      <c r="C46" t="s">
        <v>392</v>
      </c>
      <c r="D46" t="s">
        <v>466</v>
      </c>
      <c r="E46" t="s">
        <v>379</v>
      </c>
    </row>
    <row r="47" spans="1:5" x14ac:dyDescent="0.2">
      <c r="A47" t="s">
        <v>362</v>
      </c>
      <c r="B47" t="s">
        <v>398</v>
      </c>
      <c r="C47" t="s">
        <v>398</v>
      </c>
      <c r="D47" t="s">
        <v>469</v>
      </c>
      <c r="E47" t="s">
        <v>389</v>
      </c>
    </row>
    <row r="48" spans="1:5" x14ac:dyDescent="0.2">
      <c r="A48" t="s">
        <v>337</v>
      </c>
      <c r="B48" t="s">
        <v>411</v>
      </c>
      <c r="C48" t="s">
        <v>411</v>
      </c>
      <c r="D48" t="s">
        <v>469</v>
      </c>
      <c r="E48" t="s">
        <v>384</v>
      </c>
    </row>
    <row r="49" spans="1:5" x14ac:dyDescent="0.2">
      <c r="A49" t="s">
        <v>326</v>
      </c>
      <c r="B49" t="s">
        <v>409</v>
      </c>
      <c r="C49" t="s">
        <v>409</v>
      </c>
      <c r="D49" t="s">
        <v>469</v>
      </c>
      <c r="E49" t="s">
        <v>384</v>
      </c>
    </row>
    <row r="50" spans="1:5" x14ac:dyDescent="0.2">
      <c r="A50" t="s">
        <v>331</v>
      </c>
      <c r="B50" t="s">
        <v>406</v>
      </c>
      <c r="C50" t="s">
        <v>406</v>
      </c>
      <c r="D50" t="s">
        <v>468</v>
      </c>
      <c r="E50" t="s">
        <v>403</v>
      </c>
    </row>
    <row r="51" spans="1:5" x14ac:dyDescent="0.2">
      <c r="A51" t="s">
        <v>319</v>
      </c>
      <c r="B51" t="s">
        <v>386</v>
      </c>
      <c r="C51" t="s">
        <v>386</v>
      </c>
      <c r="D51" t="s">
        <v>469</v>
      </c>
      <c r="E51" t="s">
        <v>384</v>
      </c>
    </row>
    <row r="52" spans="1:5" x14ac:dyDescent="0.2">
      <c r="A52" t="s">
        <v>472</v>
      </c>
      <c r="B52" t="s">
        <v>473</v>
      </c>
      <c r="C52" t="s">
        <v>309</v>
      </c>
      <c r="D52" t="s">
        <v>453</v>
      </c>
      <c r="E52" t="s">
        <v>8</v>
      </c>
    </row>
    <row r="53" spans="1:5" x14ac:dyDescent="0.2">
      <c r="A53" t="s">
        <v>481</v>
      </c>
      <c r="B53" t="s">
        <v>482</v>
      </c>
      <c r="C53" t="s">
        <v>309</v>
      </c>
      <c r="D53" t="s">
        <v>453</v>
      </c>
      <c r="E53" t="s">
        <v>8</v>
      </c>
    </row>
    <row r="54" spans="1:5" x14ac:dyDescent="0.2">
      <c r="A54" t="s">
        <v>346</v>
      </c>
      <c r="B54" t="s">
        <v>374</v>
      </c>
      <c r="C54" t="s">
        <v>374</v>
      </c>
      <c r="D54" t="s">
        <v>465</v>
      </c>
      <c r="E54" t="s">
        <v>368</v>
      </c>
    </row>
    <row r="55" spans="1:5" x14ac:dyDescent="0.2">
      <c r="A55" t="s">
        <v>361</v>
      </c>
      <c r="B55" t="s">
        <v>380</v>
      </c>
      <c r="C55" t="s">
        <v>380</v>
      </c>
      <c r="D55" t="s">
        <v>466</v>
      </c>
      <c r="E55" t="s">
        <v>379</v>
      </c>
    </row>
    <row r="56" spans="1:5" x14ac:dyDescent="0.2">
      <c r="A56" t="s">
        <v>316</v>
      </c>
      <c r="B56" t="s">
        <v>424</v>
      </c>
      <c r="C56" t="s">
        <v>424</v>
      </c>
      <c r="D56" t="s">
        <v>466</v>
      </c>
      <c r="E56" t="s">
        <v>379</v>
      </c>
    </row>
    <row r="57" spans="1:5" x14ac:dyDescent="0.2">
      <c r="A57" t="s">
        <v>315</v>
      </c>
      <c r="B57" t="s">
        <v>395</v>
      </c>
      <c r="C57" t="s">
        <v>395</v>
      </c>
      <c r="D57" t="s">
        <v>469</v>
      </c>
      <c r="E57" t="s">
        <v>389</v>
      </c>
    </row>
    <row r="58" spans="1:5" x14ac:dyDescent="0.2">
      <c r="A58" t="s">
        <v>321</v>
      </c>
      <c r="B58" t="s">
        <v>399</v>
      </c>
      <c r="C58" t="s">
        <v>399</v>
      </c>
      <c r="D58" t="s">
        <v>469</v>
      </c>
      <c r="E58" t="s">
        <v>389</v>
      </c>
    </row>
    <row r="59" spans="1:5" x14ac:dyDescent="0.2">
      <c r="A59" t="s">
        <v>327</v>
      </c>
      <c r="B59" t="s">
        <v>412</v>
      </c>
      <c r="C59" t="s">
        <v>412</v>
      </c>
      <c r="D59" t="s">
        <v>468</v>
      </c>
      <c r="E59" t="s">
        <v>403</v>
      </c>
    </row>
    <row r="60" spans="1:5" x14ac:dyDescent="0.2">
      <c r="A60" t="s">
        <v>314</v>
      </c>
      <c r="B60" t="s">
        <v>410</v>
      </c>
      <c r="C60" t="s">
        <v>410</v>
      </c>
      <c r="D60" t="s">
        <v>469</v>
      </c>
      <c r="E60" t="s">
        <v>384</v>
      </c>
    </row>
    <row r="61" spans="1:5" x14ac:dyDescent="0.2">
      <c r="A61" t="s">
        <v>328</v>
      </c>
      <c r="B61" t="s">
        <v>80</v>
      </c>
      <c r="C61" t="s">
        <v>80</v>
      </c>
      <c r="D61" t="s">
        <v>468</v>
      </c>
      <c r="E61" t="s">
        <v>403</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1033</v>
      </c>
      <c r="C2" t="s">
        <v>436</v>
      </c>
      <c r="D2" t="s">
        <v>437</v>
      </c>
      <c r="E2" t="s">
        <v>438</v>
      </c>
      <c r="F2" t="s">
        <v>439</v>
      </c>
      <c r="G2" t="s">
        <v>440</v>
      </c>
      <c r="H2" t="s">
        <v>441</v>
      </c>
      <c r="I2" t="s">
        <v>442</v>
      </c>
      <c r="J2" t="s">
        <v>443</v>
      </c>
      <c r="K2" t="s">
        <v>444</v>
      </c>
      <c r="L2" t="s">
        <v>445</v>
      </c>
      <c r="M2" t="s">
        <v>446</v>
      </c>
      <c r="N2" t="s">
        <v>447</v>
      </c>
      <c r="O2" t="s">
        <v>448</v>
      </c>
      <c r="P2" t="s">
        <v>449</v>
      </c>
      <c r="Q2" t="s">
        <v>451</v>
      </c>
    </row>
    <row r="3" spans="2:33" x14ac:dyDescent="0.2">
      <c r="B3" t="s">
        <v>384</v>
      </c>
      <c r="C3" t="s">
        <v>410</v>
      </c>
      <c r="D3" t="s">
        <v>402</v>
      </c>
      <c r="E3" t="s">
        <v>386</v>
      </c>
      <c r="F3" t="s">
        <v>388</v>
      </c>
      <c r="G3" t="s">
        <v>417</v>
      </c>
      <c r="H3" t="s">
        <v>411</v>
      </c>
      <c r="I3" t="s">
        <v>409</v>
      </c>
      <c r="J3" t="s">
        <v>405</v>
      </c>
      <c r="K3" t="s">
        <v>420</v>
      </c>
      <c r="L3" t="s">
        <v>450</v>
      </c>
      <c r="M3" t="s">
        <v>450</v>
      </c>
      <c r="N3" t="s">
        <v>450</v>
      </c>
      <c r="O3" t="s">
        <v>450</v>
      </c>
      <c r="P3" t="s">
        <v>450</v>
      </c>
      <c r="Q3" t="s">
        <v>450</v>
      </c>
      <c r="S3" s="14" t="s">
        <v>410</v>
      </c>
      <c r="T3" s="14" t="s">
        <v>402</v>
      </c>
      <c r="U3" s="14" t="s">
        <v>386</v>
      </c>
      <c r="V3" s="14" t="s">
        <v>388</v>
      </c>
      <c r="W3" s="14" t="s">
        <v>417</v>
      </c>
      <c r="X3" s="14" t="s">
        <v>411</v>
      </c>
      <c r="Y3" s="14" t="s">
        <v>409</v>
      </c>
      <c r="Z3" s="14" t="s">
        <v>405</v>
      </c>
      <c r="AA3" s="14" t="s">
        <v>420</v>
      </c>
      <c r="AB3" s="14"/>
      <c r="AC3" s="14"/>
      <c r="AD3" s="14"/>
      <c r="AE3" s="14"/>
      <c r="AF3" s="15"/>
      <c r="AG3" s="15"/>
    </row>
    <row r="4" spans="2:33" x14ac:dyDescent="0.2">
      <c r="B4" t="s">
        <v>389</v>
      </c>
      <c r="C4" t="s">
        <v>393</v>
      </c>
      <c r="D4" t="s">
        <v>391</v>
      </c>
      <c r="E4" t="s">
        <v>398</v>
      </c>
      <c r="F4" t="s">
        <v>421</v>
      </c>
      <c r="G4" t="s">
        <v>394</v>
      </c>
      <c r="H4" t="s">
        <v>400</v>
      </c>
      <c r="I4" t="s">
        <v>396</v>
      </c>
      <c r="J4" t="s">
        <v>399</v>
      </c>
      <c r="K4" t="s">
        <v>418</v>
      </c>
      <c r="L4" t="s">
        <v>390</v>
      </c>
      <c r="M4" t="s">
        <v>419</v>
      </c>
      <c r="N4" t="s">
        <v>395</v>
      </c>
      <c r="O4" t="s">
        <v>450</v>
      </c>
      <c r="P4" t="s">
        <v>450</v>
      </c>
      <c r="Q4" t="s">
        <v>450</v>
      </c>
      <c r="S4" s="14" t="s">
        <v>393</v>
      </c>
      <c r="T4" s="14" t="s">
        <v>391</v>
      </c>
      <c r="U4" s="14" t="s">
        <v>398</v>
      </c>
      <c r="V4" s="14" t="s">
        <v>421</v>
      </c>
      <c r="W4" s="14" t="s">
        <v>394</v>
      </c>
      <c r="X4" s="14" t="s">
        <v>400</v>
      </c>
      <c r="Y4" s="14" t="s">
        <v>396</v>
      </c>
      <c r="Z4" s="14" t="s">
        <v>399</v>
      </c>
      <c r="AA4" s="14" t="s">
        <v>418</v>
      </c>
      <c r="AB4" s="14" t="s">
        <v>390</v>
      </c>
      <c r="AC4" s="14" t="s">
        <v>419</v>
      </c>
      <c r="AD4" s="14" t="s">
        <v>395</v>
      </c>
      <c r="AE4" s="14"/>
      <c r="AF4" s="15"/>
      <c r="AG4" s="15"/>
    </row>
    <row r="5" spans="2:33" x14ac:dyDescent="0.2">
      <c r="B5" t="s">
        <v>368</v>
      </c>
      <c r="C5" t="s">
        <v>372</v>
      </c>
      <c r="D5" t="s">
        <v>422</v>
      </c>
      <c r="E5" t="s">
        <v>413</v>
      </c>
      <c r="F5" t="s">
        <v>415</v>
      </c>
      <c r="G5" t="s">
        <v>375</v>
      </c>
      <c r="H5" t="s">
        <v>370</v>
      </c>
      <c r="I5" t="s">
        <v>414</v>
      </c>
      <c r="J5" t="s">
        <v>373</v>
      </c>
      <c r="K5" t="s">
        <v>60</v>
      </c>
      <c r="L5" t="s">
        <v>381</v>
      </c>
      <c r="M5" t="s">
        <v>374</v>
      </c>
      <c r="N5" t="s">
        <v>371</v>
      </c>
      <c r="O5" t="s">
        <v>416</v>
      </c>
      <c r="P5" t="s">
        <v>377</v>
      </c>
      <c r="Q5" t="s">
        <v>378</v>
      </c>
      <c r="S5" s="14" t="s">
        <v>372</v>
      </c>
      <c r="T5" s="14" t="s">
        <v>422</v>
      </c>
      <c r="U5" s="14" t="s">
        <v>413</v>
      </c>
      <c r="V5" s="14" t="s">
        <v>415</v>
      </c>
      <c r="W5" s="14" t="s">
        <v>375</v>
      </c>
      <c r="X5" s="14" t="s">
        <v>370</v>
      </c>
      <c r="Y5" s="14" t="s">
        <v>414</v>
      </c>
      <c r="Z5" s="14" t="s">
        <v>373</v>
      </c>
      <c r="AA5" s="14" t="s">
        <v>60</v>
      </c>
      <c r="AB5" s="14" t="s">
        <v>381</v>
      </c>
      <c r="AC5" s="14" t="s">
        <v>374</v>
      </c>
      <c r="AD5" s="14" t="s">
        <v>371</v>
      </c>
      <c r="AE5" s="14" t="s">
        <v>416</v>
      </c>
      <c r="AF5" s="15" t="s">
        <v>377</v>
      </c>
      <c r="AG5" s="15" t="s">
        <v>378</v>
      </c>
    </row>
    <row r="6" spans="2:33" x14ac:dyDescent="0.2">
      <c r="B6" t="s">
        <v>403</v>
      </c>
      <c r="C6" t="s">
        <v>423</v>
      </c>
      <c r="D6" t="s">
        <v>425</v>
      </c>
      <c r="E6" t="s">
        <v>406</v>
      </c>
      <c r="F6" t="s">
        <v>427</v>
      </c>
      <c r="G6" t="s">
        <v>407</v>
      </c>
      <c r="H6" t="s">
        <v>412</v>
      </c>
      <c r="I6" t="s">
        <v>404</v>
      </c>
      <c r="J6" t="s">
        <v>408</v>
      </c>
      <c r="K6" t="s">
        <v>80</v>
      </c>
      <c r="L6" t="s">
        <v>450</v>
      </c>
      <c r="M6" t="s">
        <v>450</v>
      </c>
      <c r="N6" t="s">
        <v>450</v>
      </c>
      <c r="O6" t="s">
        <v>450</v>
      </c>
      <c r="P6" t="s">
        <v>450</v>
      </c>
      <c r="Q6" t="s">
        <v>450</v>
      </c>
      <c r="S6" s="14" t="s">
        <v>423</v>
      </c>
      <c r="T6" s="14" t="s">
        <v>425</v>
      </c>
      <c r="U6" s="14" t="s">
        <v>406</v>
      </c>
      <c r="V6" s="14" t="s">
        <v>427</v>
      </c>
      <c r="W6" s="14" t="s">
        <v>407</v>
      </c>
      <c r="X6" s="14" t="s">
        <v>412</v>
      </c>
      <c r="Y6" s="14" t="s">
        <v>404</v>
      </c>
      <c r="Z6" s="14" t="s">
        <v>408</v>
      </c>
      <c r="AA6" s="14" t="s">
        <v>80</v>
      </c>
      <c r="AB6" s="14"/>
      <c r="AC6" s="14"/>
      <c r="AD6" s="14"/>
      <c r="AE6" s="14"/>
      <c r="AF6" s="15"/>
      <c r="AG6" s="15"/>
    </row>
    <row r="7" spans="2:33" x14ac:dyDescent="0.2">
      <c r="B7" t="s">
        <v>379</v>
      </c>
      <c r="C7" t="s">
        <v>387</v>
      </c>
      <c r="D7" t="s">
        <v>424</v>
      </c>
      <c r="E7" t="s">
        <v>380</v>
      </c>
      <c r="F7" t="s">
        <v>392</v>
      </c>
      <c r="G7" t="s">
        <v>426</v>
      </c>
      <c r="H7" t="s">
        <v>382</v>
      </c>
      <c r="I7" t="s">
        <v>383</v>
      </c>
      <c r="J7" t="s">
        <v>450</v>
      </c>
      <c r="K7" t="s">
        <v>450</v>
      </c>
      <c r="L7" t="s">
        <v>450</v>
      </c>
      <c r="M7" t="s">
        <v>450</v>
      </c>
      <c r="N7" t="s">
        <v>450</v>
      </c>
      <c r="O7" t="s">
        <v>450</v>
      </c>
      <c r="P7" t="s">
        <v>450</v>
      </c>
      <c r="Q7" t="s">
        <v>450</v>
      </c>
      <c r="S7" s="14" t="s">
        <v>387</v>
      </c>
      <c r="T7" s="14" t="s">
        <v>424</v>
      </c>
      <c r="U7" s="14" t="s">
        <v>380</v>
      </c>
      <c r="V7" s="14" t="s">
        <v>392</v>
      </c>
      <c r="W7" s="14" t="s">
        <v>426</v>
      </c>
      <c r="X7" s="14" t="s">
        <v>382</v>
      </c>
      <c r="Y7" s="14" t="s">
        <v>383</v>
      </c>
      <c r="Z7" s="14"/>
      <c r="AA7" s="14"/>
      <c r="AB7" s="14"/>
      <c r="AC7" s="14"/>
      <c r="AD7" s="14"/>
      <c r="AE7" s="14"/>
      <c r="AF7" s="15"/>
      <c r="AG7" s="15"/>
    </row>
    <row r="8" spans="2:33" x14ac:dyDescent="0.2">
      <c r="B8" t="s">
        <v>8</v>
      </c>
      <c r="C8" t="s">
        <v>8</v>
      </c>
      <c r="D8" t="s">
        <v>450</v>
      </c>
      <c r="E8" t="s">
        <v>450</v>
      </c>
      <c r="F8" t="s">
        <v>450</v>
      </c>
      <c r="G8" t="s">
        <v>450</v>
      </c>
      <c r="H8" t="s">
        <v>450</v>
      </c>
      <c r="I8" t="s">
        <v>450</v>
      </c>
      <c r="J8" t="s">
        <v>450</v>
      </c>
      <c r="K8" t="s">
        <v>450</v>
      </c>
      <c r="L8" t="s">
        <v>450</v>
      </c>
      <c r="M8" t="s">
        <v>450</v>
      </c>
      <c r="N8" t="s">
        <v>450</v>
      </c>
      <c r="O8" t="s">
        <v>450</v>
      </c>
      <c r="P8" t="s">
        <v>450</v>
      </c>
      <c r="Q8" t="s">
        <v>450</v>
      </c>
      <c r="S8" s="16" t="s">
        <v>8</v>
      </c>
      <c r="T8" s="16"/>
      <c r="U8" s="16"/>
      <c r="V8" s="16"/>
      <c r="W8" s="16"/>
      <c r="X8" s="16"/>
      <c r="Y8" s="16"/>
      <c r="Z8" s="16"/>
      <c r="AA8" s="16"/>
      <c r="AB8" s="16"/>
      <c r="AC8" s="16"/>
      <c r="AD8" s="16"/>
      <c r="AE8" s="16"/>
      <c r="AF8" s="17"/>
      <c r="AG8" s="17"/>
    </row>
    <row r="10" spans="2:33" x14ac:dyDescent="0.2">
      <c r="B10" t="s">
        <v>435</v>
      </c>
      <c r="C10" t="s">
        <v>436</v>
      </c>
      <c r="D10" t="s">
        <v>437</v>
      </c>
      <c r="E10" t="s">
        <v>438</v>
      </c>
      <c r="F10" t="s">
        <v>439</v>
      </c>
      <c r="G10" t="s">
        <v>440</v>
      </c>
      <c r="H10" t="s">
        <v>441</v>
      </c>
      <c r="I10" t="s">
        <v>442</v>
      </c>
      <c r="J10" t="s">
        <v>443</v>
      </c>
      <c r="K10" t="s">
        <v>444</v>
      </c>
      <c r="L10" t="s">
        <v>445</v>
      </c>
      <c r="M10" t="s">
        <v>446</v>
      </c>
      <c r="N10" t="s">
        <v>447</v>
      </c>
      <c r="O10" t="s">
        <v>448</v>
      </c>
      <c r="P10" t="s">
        <v>449</v>
      </c>
      <c r="Q10" t="s">
        <v>451</v>
      </c>
      <c r="R10" t="s">
        <v>452</v>
      </c>
    </row>
    <row r="11" spans="2:33" x14ac:dyDescent="0.2">
      <c r="B11" t="s">
        <v>384</v>
      </c>
      <c r="C11" t="s">
        <v>636</v>
      </c>
      <c r="D11" t="s">
        <v>583</v>
      </c>
      <c r="E11" t="s">
        <v>630</v>
      </c>
      <c r="F11" t="s">
        <v>618</v>
      </c>
      <c r="G11" t="s">
        <v>554</v>
      </c>
      <c r="H11" t="s">
        <v>606</v>
      </c>
      <c r="I11" t="s">
        <v>608</v>
      </c>
      <c r="J11" t="s">
        <v>550</v>
      </c>
      <c r="K11" t="s">
        <v>587</v>
      </c>
      <c r="L11" t="s">
        <v>604</v>
      </c>
      <c r="M11" t="s">
        <v>450</v>
      </c>
      <c r="N11" t="s">
        <v>450</v>
      </c>
      <c r="O11" t="s">
        <v>450</v>
      </c>
      <c r="P11" t="s">
        <v>450</v>
      </c>
      <c r="Q11" t="s">
        <v>450</v>
      </c>
      <c r="R11" t="s">
        <v>450</v>
      </c>
    </row>
    <row r="12" spans="2:33" x14ac:dyDescent="0.2">
      <c r="B12" t="s">
        <v>389</v>
      </c>
      <c r="C12" t="s">
        <v>566</v>
      </c>
      <c r="D12" t="s">
        <v>558</v>
      </c>
      <c r="E12" t="s">
        <v>575</v>
      </c>
      <c r="F12" t="s">
        <v>568</v>
      </c>
      <c r="G12" t="s">
        <v>632</v>
      </c>
      <c r="H12" t="s">
        <v>560</v>
      </c>
      <c r="I12" t="s">
        <v>577</v>
      </c>
      <c r="J12" t="s">
        <v>570</v>
      </c>
      <c r="K12" t="s">
        <v>634</v>
      </c>
      <c r="L12" t="s">
        <v>573</v>
      </c>
      <c r="M12" t="s">
        <v>579</v>
      </c>
      <c r="N12" t="s">
        <v>638</v>
      </c>
      <c r="O12" t="s">
        <v>450</v>
      </c>
      <c r="P12" t="s">
        <v>450</v>
      </c>
      <c r="Q12" t="s">
        <v>450</v>
      </c>
      <c r="R12" t="s">
        <v>450</v>
      </c>
    </row>
    <row r="13" spans="2:33" x14ac:dyDescent="0.2">
      <c r="B13" t="s">
        <v>368</v>
      </c>
      <c r="C13" t="s">
        <v>532</v>
      </c>
      <c r="D13" t="s">
        <v>511</v>
      </c>
      <c r="E13" t="s">
        <v>519</v>
      </c>
      <c r="F13" t="s">
        <v>521</v>
      </c>
      <c r="G13" t="s">
        <v>536</v>
      </c>
      <c r="H13" t="s">
        <v>621</v>
      </c>
      <c r="I13" t="s">
        <v>517</v>
      </c>
      <c r="J13" t="s">
        <v>523</v>
      </c>
      <c r="K13" t="s">
        <v>525</v>
      </c>
      <c r="L13" t="s">
        <v>528</v>
      </c>
      <c r="M13" t="s">
        <v>513</v>
      </c>
      <c r="N13" t="s">
        <v>534</v>
      </c>
      <c r="O13" t="s">
        <v>626</v>
      </c>
      <c r="P13" t="s">
        <v>628</v>
      </c>
      <c r="Q13" t="s">
        <v>642</v>
      </c>
      <c r="R13" t="s">
        <v>542</v>
      </c>
    </row>
    <row r="14" spans="2:33" x14ac:dyDescent="0.2">
      <c r="B14" t="s">
        <v>403</v>
      </c>
      <c r="C14" t="s">
        <v>585</v>
      </c>
      <c r="D14" t="s">
        <v>644</v>
      </c>
      <c r="E14" t="s">
        <v>600</v>
      </c>
      <c r="F14" t="s">
        <v>640</v>
      </c>
      <c r="G14" t="s">
        <v>592</v>
      </c>
      <c r="H14" t="s">
        <v>614</v>
      </c>
      <c r="I14" t="s">
        <v>590</v>
      </c>
      <c r="J14" t="s">
        <v>594</v>
      </c>
      <c r="K14" t="s">
        <v>602</v>
      </c>
      <c r="L14" t="s">
        <v>610</v>
      </c>
      <c r="M14" t="s">
        <v>623</v>
      </c>
      <c r="N14" t="s">
        <v>596</v>
      </c>
      <c r="O14" t="s">
        <v>450</v>
      </c>
      <c r="P14" t="s">
        <v>450</v>
      </c>
      <c r="Q14" t="s">
        <v>450</v>
      </c>
      <c r="R14" t="s">
        <v>450</v>
      </c>
    </row>
    <row r="15" spans="2:33" x14ac:dyDescent="0.2">
      <c r="B15" t="s">
        <v>379</v>
      </c>
      <c r="C15" t="s">
        <v>538</v>
      </c>
      <c r="D15" t="s">
        <v>546</v>
      </c>
      <c r="E15" t="s">
        <v>562</v>
      </c>
      <c r="F15" t="s">
        <v>552</v>
      </c>
      <c r="G15" t="s">
        <v>548</v>
      </c>
      <c r="H15" t="s">
        <v>612</v>
      </c>
      <c r="I15" t="s">
        <v>540</v>
      </c>
      <c r="J15" t="s">
        <v>450</v>
      </c>
      <c r="K15" t="s">
        <v>450</v>
      </c>
      <c r="L15" t="s">
        <v>450</v>
      </c>
      <c r="M15" t="s">
        <v>450</v>
      </c>
      <c r="N15" t="s">
        <v>450</v>
      </c>
      <c r="O15" t="s">
        <v>450</v>
      </c>
      <c r="P15" t="s">
        <v>450</v>
      </c>
      <c r="Q15" t="s">
        <v>450</v>
      </c>
      <c r="R15" t="s">
        <v>450</v>
      </c>
    </row>
    <row r="16" spans="2:33" x14ac:dyDescent="0.2">
      <c r="B16" t="s">
        <v>8</v>
      </c>
      <c r="C16" t="s">
        <v>450</v>
      </c>
      <c r="D16" t="s">
        <v>450</v>
      </c>
      <c r="E16" t="s">
        <v>450</v>
      </c>
      <c r="F16" t="s">
        <v>450</v>
      </c>
      <c r="G16" t="s">
        <v>450</v>
      </c>
      <c r="H16" t="s">
        <v>450</v>
      </c>
      <c r="I16" t="s">
        <v>450</v>
      </c>
      <c r="J16" t="s">
        <v>450</v>
      </c>
      <c r="K16" t="s">
        <v>450</v>
      </c>
      <c r="L16" t="s">
        <v>450</v>
      </c>
      <c r="M16" t="s">
        <v>450</v>
      </c>
      <c r="N16" t="s">
        <v>450</v>
      </c>
      <c r="O16" t="s">
        <v>450</v>
      </c>
      <c r="P16" t="s">
        <v>450</v>
      </c>
      <c r="Q16" t="s">
        <v>450</v>
      </c>
      <c r="R16" t="s">
        <v>450</v>
      </c>
    </row>
    <row r="19" spans="2:4" x14ac:dyDescent="0.2">
      <c r="B19" t="s">
        <v>972</v>
      </c>
      <c r="C19" t="s">
        <v>973</v>
      </c>
      <c r="D19" t="s">
        <v>974</v>
      </c>
    </row>
    <row r="20" spans="2:4" x14ac:dyDescent="0.2">
      <c r="B20" s="151">
        <v>42581</v>
      </c>
      <c r="C20">
        <v>24318</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977</v>
      </c>
      <c r="C2" s="312"/>
      <c r="D2" s="312"/>
      <c r="E2" s="312"/>
      <c r="F2" s="312"/>
      <c r="G2" s="313"/>
      <c r="H2" s="135" t="s">
        <v>5</v>
      </c>
      <c r="I2" s="136" t="s">
        <v>2</v>
      </c>
      <c r="J2" s="136" t="s">
        <v>228</v>
      </c>
      <c r="K2" s="134"/>
    </row>
    <row r="3" spans="1:11" ht="59.25" customHeight="1" x14ac:dyDescent="0.2">
      <c r="A3" s="130"/>
      <c r="B3" s="314"/>
      <c r="C3" s="315"/>
      <c r="D3" s="315"/>
      <c r="E3" s="315"/>
      <c r="F3" s="315"/>
      <c r="G3" s="315"/>
      <c r="H3" s="307">
        <f>SUM(H5,H10)</f>
        <v>376797</v>
      </c>
      <c r="I3" s="307">
        <f>SUM(I5,I10)</f>
        <v>75794</v>
      </c>
      <c r="J3" s="309">
        <f>ROUND(I3/H3,5)</f>
        <v>0.20115</v>
      </c>
      <c r="K3" s="134"/>
    </row>
    <row r="4" spans="1:11" ht="33" customHeight="1" thickBot="1" x14ac:dyDescent="0.25">
      <c r="A4" s="130"/>
      <c r="B4" s="318" t="str">
        <f>"As of: "&amp;TEXT(INDEX(MMWR_DATES[],1,1),"MMMM DD, YYYY")</f>
        <v>As of: July 30, 2016</v>
      </c>
      <c r="C4" s="319"/>
      <c r="D4" s="319"/>
      <c r="E4" s="319"/>
      <c r="F4" s="319"/>
      <c r="G4" s="320"/>
      <c r="H4" s="308"/>
      <c r="I4" s="308"/>
      <c r="J4" s="310"/>
      <c r="K4" s="137"/>
    </row>
    <row r="5" spans="1:11" ht="16.5" customHeight="1" thickBot="1" x14ac:dyDescent="0.25">
      <c r="A5" s="130"/>
      <c r="B5" s="316" t="s">
        <v>233</v>
      </c>
      <c r="C5" s="317"/>
      <c r="D5" s="317"/>
      <c r="E5" s="317"/>
      <c r="F5" s="317"/>
      <c r="G5" s="138" t="s">
        <v>244</v>
      </c>
      <c r="H5" s="158">
        <f>SUM(H6:H9)</f>
        <v>134442</v>
      </c>
      <c r="I5" s="158">
        <f>SUM(I6:I9)</f>
        <v>31279</v>
      </c>
      <c r="J5" s="159">
        <f t="shared" ref="J5:J15" si="0">IF(H5=0, 0,I5/H5)</f>
        <v>0.2326579491527945</v>
      </c>
      <c r="K5" s="134"/>
    </row>
    <row r="6" spans="1:11" ht="16.5" customHeight="1" x14ac:dyDescent="0.2">
      <c r="A6" s="130"/>
      <c r="B6" s="321" t="s">
        <v>16</v>
      </c>
      <c r="C6" s="322"/>
      <c r="D6" s="322"/>
      <c r="E6" s="322"/>
      <c r="F6" s="322"/>
      <c r="G6" s="139" t="s">
        <v>190</v>
      </c>
      <c r="H6" s="160">
        <f>IFERROR(VLOOKUP(MID($G6,4,3),MMWR_TRAD_AGG_NATIONAL[],2,0),0)</f>
        <v>34299</v>
      </c>
      <c r="I6" s="160">
        <f>IFERROR(VLOOKUP(MID($G6,4,3),MMWR_TRAD_AGG_NATIONAL[],3,0),0)</f>
        <v>9492</v>
      </c>
      <c r="J6" s="161">
        <f t="shared" si="0"/>
        <v>0.27674276217965538</v>
      </c>
      <c r="K6" s="134"/>
    </row>
    <row r="7" spans="1:11" ht="16.5" customHeight="1" x14ac:dyDescent="0.2">
      <c r="A7" s="130"/>
      <c r="B7" s="323" t="s">
        <v>0</v>
      </c>
      <c r="C7" s="324"/>
      <c r="D7" s="324"/>
      <c r="E7" s="324"/>
      <c r="F7" s="324"/>
      <c r="G7" s="140" t="s">
        <v>191</v>
      </c>
      <c r="H7" s="160">
        <f>IFERROR(VLOOKUP(MID($G7,4,3),MMWR_TRAD_AGG_NATIONAL[],2,0),0)</f>
        <v>82876</v>
      </c>
      <c r="I7" s="160">
        <f>IFERROR(VLOOKUP(MID($G7,4,3),MMWR_TRAD_AGG_NATIONAL[],3,0),0)</f>
        <v>19312</v>
      </c>
      <c r="J7" s="161">
        <f t="shared" si="0"/>
        <v>0.23302282928712775</v>
      </c>
      <c r="K7" s="134"/>
    </row>
    <row r="8" spans="1:11" ht="16.5" customHeight="1" x14ac:dyDescent="0.2">
      <c r="A8" s="130"/>
      <c r="B8" s="325" t="s">
        <v>234</v>
      </c>
      <c r="C8" s="326"/>
      <c r="D8" s="326"/>
      <c r="E8" s="326"/>
      <c r="F8" s="326"/>
      <c r="G8" s="141" t="s">
        <v>193</v>
      </c>
      <c r="H8" s="160">
        <f>IFERROR(VLOOKUP(MID($G8,4,3),MMWR_TRAD_AGG_NATIONAL[],2,0),0)</f>
        <v>7003</v>
      </c>
      <c r="I8" s="160">
        <f>IFERROR(VLOOKUP(MID($G8,4,3),MMWR_TRAD_AGG_NATIONAL[],3,0),0)</f>
        <v>531</v>
      </c>
      <c r="J8" s="161">
        <f t="shared" si="0"/>
        <v>7.5824646580037125E-2</v>
      </c>
      <c r="K8" s="134"/>
    </row>
    <row r="9" spans="1:11" ht="16.5" customHeight="1" thickBot="1" x14ac:dyDescent="0.25">
      <c r="A9" s="130"/>
      <c r="B9" s="327" t="s">
        <v>17</v>
      </c>
      <c r="C9" s="328"/>
      <c r="D9" s="328"/>
      <c r="E9" s="328"/>
      <c r="F9" s="328"/>
      <c r="G9" s="140" t="s">
        <v>195</v>
      </c>
      <c r="H9" s="160">
        <f>IFERROR(VLOOKUP(MID($G9,4,3),MMWR_TRAD_AGG_NATIONAL[],2,0),0)</f>
        <v>10264</v>
      </c>
      <c r="I9" s="160">
        <f>IFERROR(VLOOKUP(MID($G9,4,3),MMWR_TRAD_AGG_NATIONAL[],3,0),0)</f>
        <v>1944</v>
      </c>
      <c r="J9" s="161">
        <f t="shared" si="0"/>
        <v>0.18939984411535463</v>
      </c>
      <c r="K9" s="134"/>
    </row>
    <row r="10" spans="1:11" ht="17.25" thickBot="1" x14ac:dyDescent="0.25">
      <c r="A10" s="130"/>
      <c r="B10" s="316" t="s">
        <v>1</v>
      </c>
      <c r="C10" s="317"/>
      <c r="D10" s="317"/>
      <c r="E10" s="317"/>
      <c r="F10" s="317"/>
      <c r="G10" s="138" t="s">
        <v>244</v>
      </c>
      <c r="H10" s="158">
        <f>SUM(H11:H18)</f>
        <v>242355</v>
      </c>
      <c r="I10" s="158">
        <f>SUM(I11:I18)</f>
        <v>44515</v>
      </c>
      <c r="J10" s="159">
        <f t="shared" si="0"/>
        <v>0.18367683769676713</v>
      </c>
      <c r="K10" s="134"/>
    </row>
    <row r="11" spans="1:11" ht="16.5" customHeight="1" x14ac:dyDescent="0.2">
      <c r="A11" s="130"/>
      <c r="B11" s="321" t="s">
        <v>199</v>
      </c>
      <c r="C11" s="322"/>
      <c r="D11" s="322"/>
      <c r="E11" s="322"/>
      <c r="F11" s="322"/>
      <c r="G11" s="142" t="s">
        <v>194</v>
      </c>
      <c r="H11" s="162">
        <f>IFERROR(VLOOKUP(MID($G11,4,3),MMWR_TRAD_AGG_NATIONAL[],2,0),0)</f>
        <v>7813</v>
      </c>
      <c r="I11" s="160">
        <f>IFERROR(VLOOKUP(MID($G11,4,3),MMWR_TRAD_AGG_NATIONAL[],3,0),0)</f>
        <v>505</v>
      </c>
      <c r="J11" s="161">
        <f t="shared" si="0"/>
        <v>6.4635863304748492E-2</v>
      </c>
      <c r="K11" s="134"/>
    </row>
    <row r="12" spans="1:11" ht="16.5" customHeight="1" x14ac:dyDescent="0.2">
      <c r="A12" s="130"/>
      <c r="B12" s="323" t="s">
        <v>18</v>
      </c>
      <c r="C12" s="324"/>
      <c r="D12" s="324"/>
      <c r="E12" s="324"/>
      <c r="F12" s="324"/>
      <c r="G12" s="143" t="s">
        <v>192</v>
      </c>
      <c r="H12" s="163">
        <f>IFERROR(VLOOKUP(MID($G12,4,3),MMWR_TRAD_AGG_NATIONAL[],2,0),0)</f>
        <v>212096</v>
      </c>
      <c r="I12" s="160">
        <f>IFERROR(VLOOKUP(MID($G12,4,3),MMWR_TRAD_AGG_NATIONAL[],3,0),0)</f>
        <v>40521</v>
      </c>
      <c r="J12" s="161">
        <f t="shared" si="0"/>
        <v>0.19105027911888955</v>
      </c>
      <c r="K12" s="134"/>
    </row>
    <row r="13" spans="1:11" ht="16.5" customHeight="1" x14ac:dyDescent="0.2">
      <c r="A13" s="130"/>
      <c r="B13" s="323" t="s">
        <v>14</v>
      </c>
      <c r="C13" s="324"/>
      <c r="D13" s="324"/>
      <c r="E13" s="324"/>
      <c r="F13" s="324"/>
      <c r="G13" s="143" t="s">
        <v>196</v>
      </c>
      <c r="H13" s="163">
        <f>IFERROR(VLOOKUP(MID($G13,4,3),MMWR_TRAD_AGG_NATIONAL[],2,0),0)</f>
        <v>21742</v>
      </c>
      <c r="I13" s="160">
        <f>IFERROR(VLOOKUP(MID($G13,4,3),MMWR_TRAD_AGG_NATIONAL[],3,0),0)</f>
        <v>3368</v>
      </c>
      <c r="J13" s="161">
        <f t="shared" si="0"/>
        <v>0.1549075522031092</v>
      </c>
      <c r="K13" s="134"/>
    </row>
    <row r="14" spans="1:11" ht="16.5" customHeight="1" x14ac:dyDescent="0.2">
      <c r="A14" s="130"/>
      <c r="B14" s="325" t="s">
        <v>19</v>
      </c>
      <c r="C14" s="326"/>
      <c r="D14" s="326"/>
      <c r="E14" s="326"/>
      <c r="F14" s="326"/>
      <c r="G14" s="142" t="s">
        <v>197</v>
      </c>
      <c r="H14" s="163">
        <f>IFERROR(VLOOKUP(MID($G14,4,3),MMWR_TRAD_AGG_NATIONAL[],2,0),0)</f>
        <v>423</v>
      </c>
      <c r="I14" s="160">
        <f>IFERROR(VLOOKUP(MID($G14,4,3),MMWR_TRAD_AGG_NATIONAL[],3,0),0)</f>
        <v>28</v>
      </c>
      <c r="J14" s="161">
        <f t="shared" si="0"/>
        <v>6.6193853427895979E-2</v>
      </c>
      <c r="K14" s="134"/>
    </row>
    <row r="15" spans="1:11" ht="16.5" customHeight="1" x14ac:dyDescent="0.2">
      <c r="A15" s="130"/>
      <c r="B15" s="325" t="s">
        <v>84</v>
      </c>
      <c r="C15" s="326"/>
      <c r="D15" s="326"/>
      <c r="E15" s="326"/>
      <c r="F15" s="326"/>
      <c r="G15" s="142" t="s">
        <v>200</v>
      </c>
      <c r="H15" s="163">
        <f>IFERROR(VLOOKUP(MID($G15,4,3),MMWR_TRAD_AGG_NATIONAL[],2,0),0)</f>
        <v>6</v>
      </c>
      <c r="I15" s="160">
        <f>IFERROR(VLOOKUP(MID($G15,4,3),MMWR_TRAD_AGG_NATIONAL[],3,0),0)</f>
        <v>2</v>
      </c>
      <c r="J15" s="161">
        <f t="shared" si="0"/>
        <v>0.33333333333333331</v>
      </c>
      <c r="K15" s="134"/>
    </row>
    <row r="16" spans="1:11" ht="15" x14ac:dyDescent="0.2">
      <c r="A16" s="130"/>
      <c r="B16" s="325" t="s">
        <v>85</v>
      </c>
      <c r="C16" s="326"/>
      <c r="D16" s="326"/>
      <c r="E16" s="326"/>
      <c r="F16" s="326"/>
      <c r="G16" s="142" t="s">
        <v>201</v>
      </c>
      <c r="H16" s="163">
        <f>IFERROR(VLOOKUP(MID($G16,4,3),MMWR_TRAD_AGG_NATIONAL[],2,0),0)</f>
        <v>1</v>
      </c>
      <c r="I16" s="160">
        <f>IFERROR(VLOOKUP(MID($G16,4,3),MMWR_TRAD_AGG_NATIONAL[],3,0),0)</f>
        <v>0</v>
      </c>
      <c r="J16" s="161">
        <f>IF(H16=0, 0,I16/H16)</f>
        <v>0</v>
      </c>
      <c r="K16" s="134"/>
    </row>
    <row r="17" spans="1:11" ht="16.5" customHeight="1" x14ac:dyDescent="0.2">
      <c r="A17" s="130"/>
      <c r="B17" s="325" t="s">
        <v>87</v>
      </c>
      <c r="C17" s="326"/>
      <c r="D17" s="326"/>
      <c r="E17" s="326"/>
      <c r="F17" s="326"/>
      <c r="G17" s="142" t="s">
        <v>202</v>
      </c>
      <c r="H17" s="163">
        <f>IFERROR(VLOOKUP(MID($G17,4,3),MMWR_TRAD_AGG_NATIONAL[],2,0),0)</f>
        <v>5</v>
      </c>
      <c r="I17" s="160">
        <f>IFERROR(VLOOKUP(MID($G17,4,3),MMWR_TRAD_AGG_NATIONAL[],3,0),0)</f>
        <v>5</v>
      </c>
      <c r="J17" s="161">
        <f>IF(H17=0, 0,I17/H17)</f>
        <v>1</v>
      </c>
      <c r="K17" s="134"/>
    </row>
    <row r="18" spans="1:11" ht="16.5" customHeight="1" thickBot="1" x14ac:dyDescent="0.25">
      <c r="A18" s="130"/>
      <c r="B18" s="327" t="s">
        <v>86</v>
      </c>
      <c r="C18" s="328"/>
      <c r="D18" s="328"/>
      <c r="E18" s="328"/>
      <c r="F18" s="328"/>
      <c r="G18" s="142" t="s">
        <v>203</v>
      </c>
      <c r="H18" s="164">
        <f>IFERROR(VLOOKUP(MID($G18,4,3),MMWR_TRAD_AGG_NATIONAL[],2,0),0)</f>
        <v>269</v>
      </c>
      <c r="I18" s="160">
        <f>IFERROR(VLOOKUP(MID($G18,4,3),MMWR_TRAD_AGG_NATIONAL[],3,0),0)</f>
        <v>86</v>
      </c>
      <c r="J18" s="165">
        <f>IF(H18=0, 0,I18/H18)</f>
        <v>0.31970260223048325</v>
      </c>
      <c r="K18" s="134"/>
    </row>
    <row r="19" spans="1:11" ht="16.5" customHeight="1" x14ac:dyDescent="0.2">
      <c r="A19" s="130"/>
      <c r="B19" s="332" t="s">
        <v>968</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959</v>
      </c>
      <c r="C21" s="285"/>
      <c r="D21" s="286"/>
      <c r="E21" s="284" t="s">
        <v>960</v>
      </c>
      <c r="F21" s="285"/>
      <c r="G21" s="286"/>
      <c r="H21" s="284" t="s">
        <v>961</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953</v>
      </c>
      <c r="C23" s="285"/>
      <c r="D23" s="286"/>
      <c r="E23" s="284" t="s">
        <v>954</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05"/>
      <c r="D26" s="305"/>
      <c r="E26" s="305"/>
      <c r="F26" s="306"/>
      <c r="G26" s="263" t="s">
        <v>1062</v>
      </c>
      <c r="H26" s="263" t="s">
        <v>1063</v>
      </c>
      <c r="I26" s="263" t="s">
        <v>1059</v>
      </c>
      <c r="J26" s="264" t="s">
        <v>28</v>
      </c>
      <c r="K26" s="134"/>
    </row>
    <row r="27" spans="1:11" ht="16.5" customHeight="1" x14ac:dyDescent="0.2">
      <c r="A27" s="130"/>
      <c r="B27" s="302" t="s">
        <v>962</v>
      </c>
      <c r="C27" s="303"/>
      <c r="D27" s="303"/>
      <c r="E27" s="303"/>
      <c r="F27" s="304"/>
      <c r="G27" s="256">
        <v>10792</v>
      </c>
      <c r="H27" s="256">
        <v>10132</v>
      </c>
      <c r="I27" s="256">
        <v>660</v>
      </c>
      <c r="J27" s="260">
        <v>6.5000000000000002E-2</v>
      </c>
      <c r="K27" s="134"/>
    </row>
    <row r="28" spans="1:11" ht="15.75" customHeight="1" x14ac:dyDescent="0.2">
      <c r="A28" s="130"/>
      <c r="B28" s="290" t="s">
        <v>24</v>
      </c>
      <c r="C28" s="291"/>
      <c r="D28" s="291"/>
      <c r="E28" s="291"/>
      <c r="F28" s="292"/>
      <c r="G28" s="257">
        <v>2766</v>
      </c>
      <c r="H28" s="257">
        <v>2850</v>
      </c>
      <c r="I28" s="257">
        <v>-84</v>
      </c>
      <c r="J28" s="253">
        <v>-2.9000000000000001E-2</v>
      </c>
      <c r="K28" s="134"/>
    </row>
    <row r="29" spans="1:11" ht="15.75" customHeight="1" x14ac:dyDescent="0.2">
      <c r="A29" s="130"/>
      <c r="B29" s="293" t="s">
        <v>25</v>
      </c>
      <c r="C29" s="294"/>
      <c r="D29" s="294"/>
      <c r="E29" s="294"/>
      <c r="F29" s="295"/>
      <c r="G29" s="258">
        <v>1460</v>
      </c>
      <c r="H29" s="258">
        <v>1466</v>
      </c>
      <c r="I29" s="258">
        <v>-6</v>
      </c>
      <c r="J29" s="254">
        <v>-4.0000000000000001E-3</v>
      </c>
      <c r="K29" s="134"/>
    </row>
    <row r="30" spans="1:11" ht="15" x14ac:dyDescent="0.2">
      <c r="A30" s="130"/>
      <c r="B30" s="296" t="s">
        <v>26</v>
      </c>
      <c r="C30" s="297"/>
      <c r="D30" s="297"/>
      <c r="E30" s="297"/>
      <c r="F30" s="298"/>
      <c r="G30" s="258">
        <v>2606</v>
      </c>
      <c r="H30" s="258">
        <v>2099</v>
      </c>
      <c r="I30" s="258">
        <v>507</v>
      </c>
      <c r="J30" s="254">
        <v>0.24199999999999999</v>
      </c>
      <c r="K30" s="134"/>
    </row>
    <row r="31" spans="1:11" ht="15" x14ac:dyDescent="0.2">
      <c r="A31" s="130"/>
      <c r="B31" s="299" t="s">
        <v>27</v>
      </c>
      <c r="C31" s="300"/>
      <c r="D31" s="300"/>
      <c r="E31" s="300"/>
      <c r="F31" s="301"/>
      <c r="G31" s="259">
        <v>3960</v>
      </c>
      <c r="H31" s="259">
        <v>3717</v>
      </c>
      <c r="I31" s="259">
        <v>243</v>
      </c>
      <c r="J31" s="255">
        <v>6.5000000000000002E-2</v>
      </c>
      <c r="K31" s="134"/>
    </row>
    <row r="32" spans="1:11" ht="16.5" customHeight="1" x14ac:dyDescent="0.2">
      <c r="A32" s="130"/>
      <c r="B32" s="302" t="s">
        <v>235</v>
      </c>
      <c r="C32" s="303"/>
      <c r="D32" s="303"/>
      <c r="E32" s="303"/>
      <c r="F32" s="304"/>
      <c r="G32" s="256">
        <v>64578</v>
      </c>
      <c r="H32" s="256">
        <v>62894</v>
      </c>
      <c r="I32" s="256">
        <v>1684</v>
      </c>
      <c r="J32" s="260">
        <v>2.7E-2</v>
      </c>
      <c r="K32" s="134"/>
    </row>
    <row r="33" spans="1:11" ht="15" x14ac:dyDescent="0.2">
      <c r="A33" s="130"/>
      <c r="B33" s="290" t="s">
        <v>24</v>
      </c>
      <c r="C33" s="291"/>
      <c r="D33" s="291"/>
      <c r="E33" s="291"/>
      <c r="F33" s="292"/>
      <c r="G33" s="265">
        <v>12986</v>
      </c>
      <c r="H33" s="265">
        <v>13659</v>
      </c>
      <c r="I33" s="258">
        <v>-673</v>
      </c>
      <c r="J33" s="253">
        <v>-4.9000000000000002E-2</v>
      </c>
      <c r="K33" s="134"/>
    </row>
    <row r="34" spans="1:11" ht="15" x14ac:dyDescent="0.2">
      <c r="A34" s="130"/>
      <c r="B34" s="293" t="s">
        <v>25</v>
      </c>
      <c r="C34" s="294"/>
      <c r="D34" s="294"/>
      <c r="E34" s="294"/>
      <c r="F34" s="295"/>
      <c r="G34" s="265">
        <v>9964</v>
      </c>
      <c r="H34" s="265">
        <v>8916</v>
      </c>
      <c r="I34" s="258">
        <v>1048</v>
      </c>
      <c r="J34" s="254">
        <v>0.11799999999999999</v>
      </c>
      <c r="K34" s="134"/>
    </row>
    <row r="35" spans="1:11" ht="15" x14ac:dyDescent="0.2">
      <c r="A35" s="130"/>
      <c r="B35" s="296" t="s">
        <v>26</v>
      </c>
      <c r="C35" s="297"/>
      <c r="D35" s="297"/>
      <c r="E35" s="297"/>
      <c r="F35" s="298"/>
      <c r="G35" s="265">
        <v>20971</v>
      </c>
      <c r="H35" s="265">
        <v>18856</v>
      </c>
      <c r="I35" s="258">
        <v>2115</v>
      </c>
      <c r="J35" s="254">
        <v>0.112</v>
      </c>
      <c r="K35" s="134"/>
    </row>
    <row r="36" spans="1:11" ht="15.75" thickBot="1" x14ac:dyDescent="0.25">
      <c r="A36" s="130"/>
      <c r="B36" s="338" t="s">
        <v>27</v>
      </c>
      <c r="C36" s="339"/>
      <c r="D36" s="339"/>
      <c r="E36" s="339"/>
      <c r="F36" s="340"/>
      <c r="G36" s="265">
        <v>20657</v>
      </c>
      <c r="H36" s="265">
        <v>21463</v>
      </c>
      <c r="I36" s="258">
        <v>-806</v>
      </c>
      <c r="J36" s="254">
        <v>-3.7999999999999999E-2</v>
      </c>
      <c r="K36" s="134"/>
    </row>
    <row r="37" spans="1:11" ht="15.75" customHeight="1" thickBot="1" x14ac:dyDescent="0.25">
      <c r="A37" s="130"/>
      <c r="B37" s="329" t="s">
        <v>967</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295</v>
      </c>
      <c r="D2" s="357"/>
      <c r="E2" s="357"/>
      <c r="F2" s="357"/>
      <c r="G2" s="357"/>
      <c r="H2" s="357"/>
      <c r="I2" s="357"/>
      <c r="J2" s="357"/>
      <c r="K2" s="358"/>
      <c r="L2" s="356" t="s">
        <v>300</v>
      </c>
      <c r="M2" s="357"/>
      <c r="N2" s="357"/>
      <c r="O2" s="358"/>
      <c r="P2" s="28"/>
    </row>
    <row r="3" spans="1:16" ht="24" customHeight="1" thickBot="1" x14ac:dyDescent="0.4">
      <c r="A3" s="25"/>
      <c r="B3" s="29"/>
      <c r="C3" s="359"/>
      <c r="D3" s="360"/>
      <c r="E3" s="360"/>
      <c r="F3" s="360"/>
      <c r="G3" s="360"/>
      <c r="H3" s="360"/>
      <c r="I3" s="360"/>
      <c r="J3" s="360"/>
      <c r="K3" s="361"/>
      <c r="L3" s="359" t="str">
        <f>Transformation!B4</f>
        <v>As of: July 30, 2016</v>
      </c>
      <c r="M3" s="360"/>
      <c r="N3" s="360"/>
      <c r="O3" s="361"/>
      <c r="P3" s="28"/>
    </row>
    <row r="4" spans="1:16" ht="51.75" customHeight="1" thickBot="1" x14ac:dyDescent="0.35">
      <c r="A4" s="30"/>
      <c r="B4" s="246" t="s">
        <v>454</v>
      </c>
      <c r="C4" s="362" t="s">
        <v>304</v>
      </c>
      <c r="D4" s="363"/>
      <c r="E4" s="363"/>
      <c r="F4" s="363"/>
      <c r="G4" s="363"/>
      <c r="H4" s="363"/>
      <c r="I4" s="363"/>
      <c r="J4" s="363"/>
      <c r="K4" s="363"/>
      <c r="L4" s="363"/>
      <c r="M4" s="363"/>
      <c r="N4" s="363"/>
      <c r="O4" s="364"/>
      <c r="P4" s="28"/>
    </row>
    <row r="5" spans="1:16" ht="27" customHeight="1" thickBot="1" x14ac:dyDescent="0.25">
      <c r="A5" s="30"/>
      <c r="B5" s="26"/>
      <c r="C5" s="365" t="s">
        <v>1040</v>
      </c>
      <c r="D5" s="366"/>
      <c r="E5" s="366"/>
      <c r="F5" s="366"/>
      <c r="G5" s="366"/>
      <c r="H5" s="366"/>
      <c r="I5" s="366"/>
      <c r="J5" s="366"/>
      <c r="K5" s="366"/>
      <c r="L5" s="366"/>
      <c r="M5" s="366"/>
      <c r="N5" s="366"/>
      <c r="O5" s="367"/>
      <c r="P5" s="28"/>
    </row>
    <row r="6" spans="1:16" ht="55.5" customHeight="1" x14ac:dyDescent="0.2">
      <c r="A6" s="30"/>
      <c r="B6" s="31"/>
      <c r="C6" s="32" t="s">
        <v>190</v>
      </c>
      <c r="D6" s="368" t="s">
        <v>16</v>
      </c>
      <c r="E6" s="369"/>
      <c r="F6" s="33" t="s">
        <v>193</v>
      </c>
      <c r="G6" s="368" t="s">
        <v>198</v>
      </c>
      <c r="H6" s="370"/>
      <c r="I6" s="33" t="s">
        <v>196</v>
      </c>
      <c r="J6" s="374" t="s">
        <v>14</v>
      </c>
      <c r="K6" s="375"/>
      <c r="L6" s="33" t="s">
        <v>201</v>
      </c>
      <c r="M6" s="371" t="s">
        <v>85</v>
      </c>
      <c r="N6" s="372"/>
      <c r="O6" s="373"/>
      <c r="P6" s="28"/>
    </row>
    <row r="7" spans="1:16" ht="51.75" customHeight="1" x14ac:dyDescent="0.2">
      <c r="A7" s="30"/>
      <c r="B7" s="34"/>
      <c r="C7" s="35" t="s">
        <v>191</v>
      </c>
      <c r="D7" s="344" t="s">
        <v>0</v>
      </c>
      <c r="E7" s="345"/>
      <c r="F7" s="36" t="s">
        <v>194</v>
      </c>
      <c r="G7" s="346" t="s">
        <v>199</v>
      </c>
      <c r="H7" s="346"/>
      <c r="I7" s="36" t="s">
        <v>197</v>
      </c>
      <c r="J7" s="376" t="s">
        <v>19</v>
      </c>
      <c r="K7" s="377"/>
      <c r="L7" s="36" t="s">
        <v>202</v>
      </c>
      <c r="M7" s="380" t="s">
        <v>87</v>
      </c>
      <c r="N7" s="381"/>
      <c r="O7" s="382"/>
      <c r="P7" s="28"/>
    </row>
    <row r="8" spans="1:16" ht="51.75" customHeight="1" thickBot="1" x14ac:dyDescent="0.25">
      <c r="A8" s="25"/>
      <c r="B8" s="28"/>
      <c r="C8" s="37" t="s">
        <v>192</v>
      </c>
      <c r="D8" s="347" t="s">
        <v>18</v>
      </c>
      <c r="E8" s="348"/>
      <c r="F8" s="38" t="s">
        <v>195</v>
      </c>
      <c r="G8" s="349" t="s">
        <v>17</v>
      </c>
      <c r="H8" s="349"/>
      <c r="I8" s="38" t="s">
        <v>200</v>
      </c>
      <c r="J8" s="378" t="s">
        <v>84</v>
      </c>
      <c r="K8" s="379"/>
      <c r="L8" s="38" t="s">
        <v>203</v>
      </c>
      <c r="M8" s="353" t="s">
        <v>86</v>
      </c>
      <c r="N8" s="354"/>
      <c r="O8" s="355"/>
      <c r="P8" s="28"/>
    </row>
    <row r="9" spans="1:16" x14ac:dyDescent="0.2">
      <c r="A9" s="28"/>
      <c r="B9" s="28"/>
      <c r="C9" s="39" t="s">
        <v>703</v>
      </c>
      <c r="D9" s="39" t="s">
        <v>705</v>
      </c>
      <c r="E9" s="39" t="s">
        <v>704</v>
      </c>
      <c r="F9" s="39" t="s">
        <v>707</v>
      </c>
      <c r="G9" s="39" t="s">
        <v>706</v>
      </c>
      <c r="H9" s="39" t="s">
        <v>709</v>
      </c>
      <c r="I9" s="39" t="s">
        <v>708</v>
      </c>
      <c r="J9" s="39" t="s">
        <v>919</v>
      </c>
      <c r="K9" s="39" t="s">
        <v>920</v>
      </c>
      <c r="L9" s="39" t="s">
        <v>922</v>
      </c>
      <c r="M9" s="39" t="s">
        <v>1041</v>
      </c>
      <c r="N9" s="39" t="s">
        <v>923</v>
      </c>
      <c r="O9" s="39" t="s">
        <v>924</v>
      </c>
      <c r="P9" s="28"/>
    </row>
    <row r="10" spans="1:16" ht="15.75" customHeight="1" x14ac:dyDescent="0.2">
      <c r="A10" s="25"/>
      <c r="B10" s="26"/>
      <c r="C10" s="350" t="s">
        <v>293</v>
      </c>
      <c r="D10" s="350"/>
      <c r="E10" s="350"/>
      <c r="F10" s="350"/>
      <c r="G10" s="350"/>
      <c r="H10" s="350"/>
      <c r="I10" s="350"/>
      <c r="J10" s="350"/>
      <c r="K10" s="350"/>
      <c r="L10" s="350"/>
      <c r="M10" s="350"/>
      <c r="N10" s="350"/>
      <c r="O10" s="350"/>
      <c r="P10" s="28"/>
    </row>
    <row r="11" spans="1:16" ht="32.25" customHeight="1" x14ac:dyDescent="0.2">
      <c r="A11" s="25"/>
      <c r="B11" s="26"/>
      <c r="C11" s="351" t="s">
        <v>226</v>
      </c>
      <c r="D11" s="351" t="s">
        <v>134</v>
      </c>
      <c r="E11" s="351" t="s">
        <v>227</v>
      </c>
      <c r="F11" s="351" t="s">
        <v>189</v>
      </c>
      <c r="G11" s="351" t="s">
        <v>204</v>
      </c>
      <c r="H11" s="351" t="s">
        <v>206</v>
      </c>
      <c r="I11" s="351" t="s">
        <v>207</v>
      </c>
      <c r="J11" s="385" t="s">
        <v>1052</v>
      </c>
      <c r="K11" s="385" t="s">
        <v>1053</v>
      </c>
      <c r="L11" s="383" t="s">
        <v>1050</v>
      </c>
      <c r="M11" s="384"/>
      <c r="N11" s="383" t="s">
        <v>1051</v>
      </c>
      <c r="O11" s="384"/>
      <c r="P11" s="28"/>
    </row>
    <row r="12" spans="1:16" ht="32.25" customHeight="1" x14ac:dyDescent="0.2">
      <c r="A12" s="25"/>
      <c r="B12" s="26"/>
      <c r="C12" s="352"/>
      <c r="D12" s="352"/>
      <c r="E12" s="352"/>
      <c r="F12" s="352"/>
      <c r="G12" s="352"/>
      <c r="H12" s="352"/>
      <c r="I12" s="352"/>
      <c r="J12" s="386"/>
      <c r="K12" s="386"/>
      <c r="L12" s="40" t="s">
        <v>925</v>
      </c>
      <c r="M12" s="40" t="s">
        <v>930</v>
      </c>
      <c r="N12" s="40" t="s">
        <v>925</v>
      </c>
      <c r="O12" s="40" t="s">
        <v>930</v>
      </c>
      <c r="P12" s="28"/>
    </row>
    <row r="13" spans="1:16" x14ac:dyDescent="0.2">
      <c r="A13" s="25"/>
      <c r="B13" s="41" t="s">
        <v>1048</v>
      </c>
      <c r="C13" s="154">
        <f>IF($B13=" ","",IFERROR(INDEX(MMWR_RATING_RO_ROLLUP[],MATCH($B13,MMWR_RATING_RO_ROLLUP[MMWR_RATING_RO_ROLLUP],0),MATCH(C$9,MMWR_RATING_RO_ROLLUP[#Headers],0)),"ERROR"))</f>
        <v>376797</v>
      </c>
      <c r="D13" s="155">
        <f>IF($B13=" ","",IFERROR(INDEX(MMWR_RATING_RO_ROLLUP[],MATCH($B13,MMWR_RATING_RO_ROLLUP[MMWR_RATING_RO_ROLLUP],0),MATCH(D$9,MMWR_RATING_RO_ROLLUP[#Headers],0)),"ERROR"))</f>
        <v>89.142453363499996</v>
      </c>
      <c r="E13" s="156">
        <f>IF($B13=" ","",IFERROR(INDEX(MMWR_RATING_RO_ROLLUP[],MATCH($B13,MMWR_RATING_RO_ROLLUP[MMWR_RATING_RO_ROLLUP],0),MATCH(E$9,MMWR_RATING_RO_ROLLUP[#Headers],0))/$C13,"ERROR"))</f>
        <v>0.20115340621077132</v>
      </c>
      <c r="F13" s="154">
        <f>IF($B13=" ","",IFERROR(INDEX(MMWR_RATING_RO_ROLLUP[],MATCH($B13,MMWR_RATING_RO_ROLLUP[MMWR_RATING_RO_ROLLUP],0),MATCH(F$9,MMWR_RATING_RO_ROLLUP[#Headers],0)),"ERROR"))</f>
        <v>100920</v>
      </c>
      <c r="G13" s="154">
        <f>IF($B13=" ","",IFERROR(INDEX(MMWR_RATING_RO_ROLLUP[],MATCH($B13,MMWR_RATING_RO_ROLLUP[MMWR_RATING_RO_ROLLUP],0),MATCH(G$9,MMWR_RATING_RO_ROLLUP[#Headers],0)),"ERROR"))</f>
        <v>1045566</v>
      </c>
      <c r="H13" s="155">
        <f>IF($B13=" ","",IFERROR(INDEX(MMWR_RATING_RO_ROLLUP[],MATCH($B13,MMWR_RATING_RO_ROLLUP[MMWR_RATING_RO_ROLLUP],0),MATCH(H$9,MMWR_RATING_RO_ROLLUP[#Headers],0)),"ERROR"))</f>
        <v>121.0961256441</v>
      </c>
      <c r="I13" s="155">
        <f>IF($B13=" ","",IFERROR(INDEX(MMWR_RATING_RO_ROLLUP[],MATCH($B13,MMWR_RATING_RO_ROLLUP[MMWR_RATING_RO_ROLLUP],0),MATCH(I$9,MMWR_RATING_RO_ROLLUP[#Headers],0)),"ERROR"))</f>
        <v>123.16182622620001</v>
      </c>
      <c r="J13" s="42"/>
      <c r="K13" s="42"/>
      <c r="L13" s="42"/>
      <c r="M13" s="42"/>
      <c r="N13" s="42"/>
      <c r="O13" s="42"/>
      <c r="P13" s="28"/>
    </row>
    <row r="14" spans="1:16" x14ac:dyDescent="0.2">
      <c r="A14" s="25"/>
      <c r="B14" s="342" t="s">
        <v>731</v>
      </c>
      <c r="C14" s="343"/>
      <c r="D14" s="343"/>
      <c r="E14" s="343"/>
      <c r="F14" s="343"/>
      <c r="G14" s="343"/>
      <c r="H14" s="343"/>
      <c r="I14" s="343"/>
      <c r="J14" s="343"/>
      <c r="K14" s="343"/>
      <c r="L14" s="343"/>
      <c r="M14" s="343"/>
      <c r="N14" s="343"/>
      <c r="O14" s="343"/>
      <c r="P14" s="28"/>
    </row>
    <row r="15" spans="1:16" x14ac:dyDescent="0.2">
      <c r="A15" s="25"/>
      <c r="B15" s="41" t="s">
        <v>727</v>
      </c>
      <c r="C15" s="154">
        <f>IF($B15=" ","",IFERROR(INDEX(MMWR_RATING_RO_ROLLUP[],MATCH($B15,MMWR_RATING_RO_ROLLUP[MMWR_RATING_RO_ROLLUP],0),MATCH(C$9,MMWR_RATING_RO_ROLLUP[#Headers],0)),"ERROR"))</f>
        <v>335000</v>
      </c>
      <c r="D15" s="155">
        <f>IF($B15=" ","",IFERROR(INDEX(MMWR_RATING_RO_ROLLUP[],MATCH($B15,MMWR_RATING_RO_ROLLUP[MMWR_RATING_RO_ROLLUP],0),MATCH(D$9,MMWR_RATING_RO_ROLLUP[#Headers],0)),"ERROR"))</f>
        <v>91.616671641799996</v>
      </c>
      <c r="E15" s="156">
        <f>IF($B15=" ","",IFERROR(INDEX(MMWR_RATING_RO_ROLLUP[],MATCH($B15,MMWR_RATING_RO_ROLLUP[MMWR_RATING_RO_ROLLUP],0),MATCH(E$9,MMWR_RATING_RO_ROLLUP[#Headers],0))/$C15,"ERROR"))</f>
        <v>0.21132238805970149</v>
      </c>
      <c r="F15" s="154">
        <f>IF($B15=" ","",IFERROR(INDEX(MMWR_RATING_RO_ROLLUP[],MATCH($B15,MMWR_RATING_RO_ROLLUP[MMWR_RATING_RO_ROLLUP],0),MATCH(F$9,MMWR_RATING_RO_ROLLUP[#Headers],0)),"ERROR"))</f>
        <v>83881</v>
      </c>
      <c r="G15" s="154">
        <f>IF($B15=" ","",IFERROR(INDEX(MMWR_RATING_RO_ROLLUP[],MATCH($B15,MMWR_RATING_RO_ROLLUP[MMWR_RATING_RO_ROLLUP],0),MATCH(G$9,MMWR_RATING_RO_ROLLUP[#Headers],0)),"ERROR"))</f>
        <v>877661</v>
      </c>
      <c r="H15" s="155">
        <f>IF($B15=" ","",IFERROR(INDEX(MMWR_RATING_RO_ROLLUP[],MATCH($B15,MMWR_RATING_RO_ROLLUP[MMWR_RATING_RO_ROLLUP],0),MATCH(H$9,MMWR_RATING_RO_ROLLUP[#Headers],0)),"ERROR"))</f>
        <v>126.703162814</v>
      </c>
      <c r="I15" s="155">
        <f>IF($B15=" ","",IFERROR(INDEX(MMWR_RATING_RO_ROLLUP[],MATCH($B15,MMWR_RATING_RO_ROLLUP[MMWR_RATING_RO_ROLLUP],0),MATCH(I$9,MMWR_RATING_RO_ROLLUP[#Headers],0)),"ERROR"))</f>
        <v>128.72030544820001</v>
      </c>
      <c r="J15" s="157">
        <f>VLOOKUP($B$13,MMWR_ACCURACY_RO[],MATCH(J$9,MMWR_ACCURACY_RO[#Headers],0),0)</f>
        <v>0.95168781246098</v>
      </c>
      <c r="K15" s="157">
        <f>VLOOKUP($B$13,MMWR_ACCURACY_RO[],MATCH(K$9,MMWR_ACCURACY_RO[#Headers],0),0)</f>
        <v>0.86588343156635506</v>
      </c>
      <c r="L15" s="157">
        <f>VLOOKUP($B$13,MMWR_ACCURACY_RO[],MATCH(L$9,MMWR_ACCURACY_RO[#Headers],0),0)</f>
        <v>0.885974049178335</v>
      </c>
      <c r="M15" s="157">
        <f>VLOOKUP($B$13,MMWR_ACCURACY_RO[],MATCH(M$9,MMWR_ACCURACY_RO[#Headers],0),0)</f>
        <v>7.8611549572085004E-3</v>
      </c>
      <c r="N15" s="157">
        <f>VLOOKUP($B$13,MMWR_ACCURACY_RO[],MATCH(N$9,MMWR_ACCURACY_RO[#Headers],0),0)</f>
        <v>0.89787886833437702</v>
      </c>
      <c r="O15" s="157">
        <f>VLOOKUP($B$13,MMWR_ACCURACY_RO[],MATCH(O$9,MMWR_ACCURACY_RO[#Headers],0),0)</f>
        <v>1.1898620119243E-2</v>
      </c>
      <c r="P15" s="28"/>
    </row>
    <row r="16" spans="1:16" x14ac:dyDescent="0.2">
      <c r="A16" s="25"/>
      <c r="B16" s="247" t="s">
        <v>368</v>
      </c>
      <c r="C16" s="154">
        <f>IF($B16=" ","",IFERROR(INDEX(MMWR_RATING_RO_ROLLUP[],MATCH($B16,MMWR_RATING_RO_ROLLUP[MMWR_RATING_RO_ROLLUP],0),MATCH(C$9,MMWR_RATING_RO_ROLLUP[#Headers],0)),"ERROR"))</f>
        <v>25816</v>
      </c>
      <c r="D16" s="155">
        <f>IF($B16=" ","",IFERROR(INDEX(MMWR_RATING_RO_ROLLUP[],MATCH($B16,MMWR_RATING_RO_ROLLUP[MMWR_RATING_RO_ROLLUP],0),MATCH(D$9,MMWR_RATING_RO_ROLLUP[#Headers],0)),"ERROR"))</f>
        <v>101.9677719244</v>
      </c>
      <c r="E16" s="156">
        <f>IF($B16=" ","",IFERROR(INDEX(MMWR_RATING_RO_ROLLUP[],MATCH($B16,MMWR_RATING_RO_ROLLUP[MMWR_RATING_RO_ROLLUP],0),MATCH(E$9,MMWR_RATING_RO_ROLLUP[#Headers],0))/$C16,"ERROR"))</f>
        <v>0.26715990083669044</v>
      </c>
      <c r="F16" s="154">
        <f>IF($B16=" ","",IFERROR(INDEX(MMWR_RATING_RO_ROLLUP[],MATCH($B16,MMWR_RATING_RO_ROLLUP[MMWR_RATING_RO_ROLLUP],0),MATCH(F$9,MMWR_RATING_RO_ROLLUP[#Headers],0)),"ERROR"))</f>
        <v>17823</v>
      </c>
      <c r="G16" s="154">
        <f>IF($B16=" ","",IFERROR(INDEX(MMWR_RATING_RO_ROLLUP[],MATCH($B16,MMWR_RATING_RO_ROLLUP[MMWR_RATING_RO_ROLLUP],0),MATCH(G$9,MMWR_RATING_RO_ROLLUP[#Headers],0)),"ERROR"))</f>
        <v>185957</v>
      </c>
      <c r="H16" s="155">
        <f>IF($B16=" ","",IFERROR(INDEX(MMWR_RATING_RO_ROLLUP[],MATCH($B16,MMWR_RATING_RO_ROLLUP[MMWR_RATING_RO_ROLLUP],0),MATCH(H$9,MMWR_RATING_RO_ROLLUP[#Headers],0)),"ERROR"))</f>
        <v>129.6474779779</v>
      </c>
      <c r="I16" s="155">
        <f>IF($B16=" ","",IFERROR(INDEX(MMWR_RATING_RO_ROLLUP[],MATCH($B16,MMWR_RATING_RO_ROLLUP[MMWR_RATING_RO_ROLLUP],0),MATCH(I$9,MMWR_RATING_RO_ROLLUP[#Headers],0)),"ERROR"))</f>
        <v>129.80200261350001</v>
      </c>
      <c r="J16" s="157">
        <f>IF($B16=" ","",IFERROR(VLOOKUP($B16,MMWR_ACCURACY_RO[],MATCH(J$9,MMWR_ACCURACY_RO[#Headers],0),0),"ERROR"))</f>
        <v>0.95846293173471497</v>
      </c>
      <c r="K16" s="157">
        <f>IF($B16=" ","",IFERROR(VLOOKUP($B16,MMWR_ACCURACY_RO[],MATCH(K$9,MMWR_ACCURACY_RO[#Headers],0),0),"ERROR"))</f>
        <v>0.86841381260836104</v>
      </c>
      <c r="L16" s="157">
        <f>IF($B16=" ","",IFERROR(VLOOKUP($B16,MMWR_ACCURACY_RO[],MATCH(L$9,MMWR_ACCURACY_RO[#Headers],0),0),"ERROR"))</f>
        <v>0.87854911720371398</v>
      </c>
      <c r="M16" s="157">
        <f>IF($B16=" ","",IFERROR(VLOOKUP($B16,MMWR_ACCURACY_RO[],MATCH(M$9,MMWR_ACCURACY_RO[#Headers],0),0),"ERROR"))</f>
        <v>1.5281988631149801E-2</v>
      </c>
      <c r="N16" s="157">
        <f>IF($B16=" ","",IFERROR(VLOOKUP($B16,MMWR_ACCURACY_RO[],MATCH(N$9,MMWR_ACCURACY_RO[#Headers],0),0),"ERROR"))</f>
        <v>0.87548147611045801</v>
      </c>
      <c r="O16" s="157">
        <f>IF($B16=" ","",IFERROR(VLOOKUP($B16,MMWR_ACCURACY_RO[],MATCH(O$9,MMWR_ACCURACY_RO[#Headers],0),0),"ERROR"))</f>
        <v>3.1487582547481997E-2</v>
      </c>
      <c r="P16" s="28"/>
    </row>
    <row r="17" spans="1:16" x14ac:dyDescent="0.2">
      <c r="A17" s="25"/>
      <c r="B17" s="8" t="str">
        <f>VLOOKUP($B$16,DISTRICT_RO[],2,0)</f>
        <v>Baltimore VSC</v>
      </c>
      <c r="C17" s="154">
        <f>IF($B17=" ","",IFERROR(INDEX(MMWR_RATING_RO_ROLLUP[],MATCH($B17,MMWR_RATING_RO_ROLLUP[MMWR_RATING_RO_ROLLUP],0),MATCH(C$9,MMWR_RATING_RO_ROLLUP[#Headers],0)),"ERROR"))</f>
        <v>825</v>
      </c>
      <c r="D17" s="155">
        <f>IF($B17=" ","",IFERROR(INDEX(MMWR_RATING_RO_ROLLUP[],MATCH($B17,MMWR_RATING_RO_ROLLUP[MMWR_RATING_RO_ROLLUP],0),MATCH(D$9,MMWR_RATING_RO_ROLLUP[#Headers],0)),"ERROR"))</f>
        <v>117.1018181818</v>
      </c>
      <c r="E17" s="156">
        <f>IF($B17=" ","",IFERROR(INDEX(MMWR_RATING_RO_ROLLUP[],MATCH($B17,MMWR_RATING_RO_ROLLUP[MMWR_RATING_RO_ROLLUP],0),MATCH(E$9,MMWR_RATING_RO_ROLLUP[#Headers],0))/$C17,"ERROR"))</f>
        <v>0.32606060606060605</v>
      </c>
      <c r="F17" s="154">
        <f>IF($B17=" ","",IFERROR(INDEX(MMWR_RATING_RO_ROLLUP[],MATCH($B17,MMWR_RATING_RO_ROLLUP[MMWR_RATING_RO_ROLLUP],0),MATCH(F$9,MMWR_RATING_RO_ROLLUP[#Headers],0)),"ERROR"))</f>
        <v>407</v>
      </c>
      <c r="G17" s="154">
        <f>IF($B17=" ","",IFERROR(INDEX(MMWR_RATING_RO_ROLLUP[],MATCH($B17,MMWR_RATING_RO_ROLLUP[MMWR_RATING_RO_ROLLUP],0),MATCH(G$9,MMWR_RATING_RO_ROLLUP[#Headers],0)),"ERROR"))</f>
        <v>6572</v>
      </c>
      <c r="H17" s="155">
        <f>IF($B17=" ","",IFERROR(INDEX(MMWR_RATING_RO_ROLLUP[],MATCH($B17,MMWR_RATING_RO_ROLLUP[MMWR_RATING_RO_ROLLUP],0),MATCH(H$9,MMWR_RATING_RO_ROLLUP[#Headers],0)),"ERROR"))</f>
        <v>170.71744471740001</v>
      </c>
      <c r="I17" s="155">
        <f>IF($B17=" ","",IFERROR(INDEX(MMWR_RATING_RO_ROLLUP[],MATCH($B17,MMWR_RATING_RO_ROLLUP[MMWR_RATING_RO_ROLLUP],0),MATCH(I$9,MMWR_RATING_RO_ROLLUP[#Headers],0)),"ERROR"))</f>
        <v>143.91463785760001</v>
      </c>
      <c r="J17" s="157">
        <f>IF($B17=" ","",IFERROR(VLOOKUP($B17,MMWR_ACCURACY_RO[],MATCH(J$9,MMWR_ACCURACY_RO[#Headers],0),0),"ERROR"))</f>
        <v>0.90188566775685497</v>
      </c>
      <c r="K17" s="157">
        <f>IF($B17=" ","",IFERROR(VLOOKUP($B17,MMWR_ACCURACY_RO[],MATCH(K$9,MMWR_ACCURACY_RO[#Headers],0),0),"ERROR"))</f>
        <v>0.73347025467369298</v>
      </c>
      <c r="L17" s="157">
        <f>IF($B17=" ","",IFERROR(VLOOKUP($B17,MMWR_ACCURACY_RO[],MATCH(L$9,MMWR_ACCURACY_RO[#Headers],0),0),"ERROR"))</f>
        <v>0.81653649450434795</v>
      </c>
      <c r="M17" s="157">
        <f>IF($B17=" ","",IFERROR(VLOOKUP($B17,MMWR_ACCURACY_RO[],MATCH(M$9,MMWR_ACCURACY_RO[#Headers],0),0),"ERROR"))</f>
        <v>4.6324894365922603E-2</v>
      </c>
      <c r="N17" s="157">
        <f>IF($B17=" ","",IFERROR(VLOOKUP($B17,MMWR_ACCURACY_RO[],MATCH(N$9,MMWR_ACCURACY_RO[#Headers],0),0),"ERROR"))</f>
        <v>0.88521920558676104</v>
      </c>
      <c r="O17" s="157">
        <f>IF($B17=" ","",IFERROR(VLOOKUP($B17,MMWR_ACCURACY_RO[],MATCH(O$9,MMWR_ACCURACY_RO[#Headers],0),0),"ERROR"))</f>
        <v>4.92292310977984E-2</v>
      </c>
      <c r="P17" s="28"/>
    </row>
    <row r="18" spans="1:16" x14ac:dyDescent="0.2">
      <c r="A18" s="25"/>
      <c r="B18" s="8" t="str">
        <f>VLOOKUP($B$16,DISTRICT_RO[],3,0)</f>
        <v>Boston VSC</v>
      </c>
      <c r="C18" s="154">
        <f>IF($B18=" ","",IFERROR(INDEX(MMWR_RATING_RO_ROLLUP[],MATCH($B18,MMWR_RATING_RO_ROLLUP[MMWR_RATING_RO_ROLLUP],0),MATCH(C$9,MMWR_RATING_RO_ROLLUP[#Headers],0)),"ERROR"))</f>
        <v>1051</v>
      </c>
      <c r="D18" s="155">
        <f>IF($B18=" ","",IFERROR(INDEX(MMWR_RATING_RO_ROLLUP[],MATCH($B18,MMWR_RATING_RO_ROLLUP[MMWR_RATING_RO_ROLLUP],0),MATCH(D$9,MMWR_RATING_RO_ROLLUP[#Headers],0)),"ERROR"))</f>
        <v>102.2112274025</v>
      </c>
      <c r="E18" s="156">
        <f>IF($B18=" ","",IFERROR(INDEX(MMWR_RATING_RO_ROLLUP[],MATCH($B18,MMWR_RATING_RO_ROLLUP[MMWR_RATING_RO_ROLLUP],0),MATCH(E$9,MMWR_RATING_RO_ROLLUP[#Headers],0))/$C18,"ERROR"))</f>
        <v>0.29400570884871552</v>
      </c>
      <c r="F18" s="154">
        <f>IF($B18=" ","",IFERROR(INDEX(MMWR_RATING_RO_ROLLUP[],MATCH($B18,MMWR_RATING_RO_ROLLUP[MMWR_RATING_RO_ROLLUP],0),MATCH(F$9,MMWR_RATING_RO_ROLLUP[#Headers],0)),"ERROR"))</f>
        <v>878</v>
      </c>
      <c r="G18" s="154">
        <f>IF($B18=" ","",IFERROR(INDEX(MMWR_RATING_RO_ROLLUP[],MATCH($B18,MMWR_RATING_RO_ROLLUP[MMWR_RATING_RO_ROLLUP],0),MATCH(G$9,MMWR_RATING_RO_ROLLUP[#Headers],0)),"ERROR"))</f>
        <v>8122</v>
      </c>
      <c r="H18" s="155">
        <f>IF($B18=" ","",IFERROR(INDEX(MMWR_RATING_RO_ROLLUP[],MATCH($B18,MMWR_RATING_RO_ROLLUP[MMWR_RATING_RO_ROLLUP],0),MATCH(H$9,MMWR_RATING_RO_ROLLUP[#Headers],0)),"ERROR"))</f>
        <v>123.9920273349</v>
      </c>
      <c r="I18" s="155">
        <f>IF($B18=" ","",IFERROR(INDEX(MMWR_RATING_RO_ROLLUP[],MATCH($B18,MMWR_RATING_RO_ROLLUP[MMWR_RATING_RO_ROLLUP],0),MATCH(I$9,MMWR_RATING_RO_ROLLUP[#Headers],0)),"ERROR"))</f>
        <v>130.8444964295</v>
      </c>
      <c r="J18" s="157">
        <f>IF($B18=" ","",IFERROR(VLOOKUP($B18,MMWR_ACCURACY_RO[],MATCH(J$9,MMWR_ACCURACY_RO[#Headers],0),0),"ERROR"))</f>
        <v>0.93814228931247201</v>
      </c>
      <c r="K18" s="157">
        <f>IF($B18=" ","",IFERROR(VLOOKUP($B18,MMWR_ACCURACY_RO[],MATCH(K$9,MMWR_ACCURACY_RO[#Headers],0),0),"ERROR"))</f>
        <v>0.80065275187492602</v>
      </c>
      <c r="L18" s="157">
        <f>IF($B18=" ","",IFERROR(VLOOKUP($B18,MMWR_ACCURACY_RO[],MATCH(L$9,MMWR_ACCURACY_RO[#Headers],0),0),"ERROR"))</f>
        <v>0.79722077464949703</v>
      </c>
      <c r="M18" s="157">
        <f>IF($B18=" ","",IFERROR(VLOOKUP($B18,MMWR_ACCURACY_RO[],MATCH(M$9,MMWR_ACCURACY_RO[#Headers],0),0),"ERROR"))</f>
        <v>6.1605731085896898E-2</v>
      </c>
      <c r="N18" s="157">
        <f>IF($B18=" ","",IFERROR(VLOOKUP($B18,MMWR_ACCURACY_RO[],MATCH(N$9,MMWR_ACCURACY_RO[#Headers],0),0),"ERROR"))</f>
        <v>0.92791149212874402</v>
      </c>
      <c r="O18" s="157">
        <f>IF($B18=" ","",IFERROR(VLOOKUP($B18,MMWR_ACCURACY_RO[],MATCH(O$9,MMWR_ACCURACY_RO[#Headers],0),0),"ERROR"))</f>
        <v>3.00411100052588E-2</v>
      </c>
      <c r="P18" s="28"/>
    </row>
    <row r="19" spans="1:16" x14ac:dyDescent="0.2">
      <c r="A19" s="25"/>
      <c r="B19" s="8" t="str">
        <f>VLOOKUP($B$16,DISTRICT_RO[],4,0)</f>
        <v>Buffalo VSC</v>
      </c>
      <c r="C19" s="154">
        <f>IF($B19=" ","",IFERROR(INDEX(MMWR_RATING_RO_ROLLUP[],MATCH($B19,MMWR_RATING_RO_ROLLUP[MMWR_RATING_RO_ROLLUP],0),MATCH(C$9,MMWR_RATING_RO_ROLLUP[#Headers],0)),"ERROR"))</f>
        <v>993</v>
      </c>
      <c r="D19" s="155">
        <f>IF($B19=" ","",IFERROR(INDEX(MMWR_RATING_RO_ROLLUP[],MATCH($B19,MMWR_RATING_RO_ROLLUP[MMWR_RATING_RO_ROLLUP],0),MATCH(D$9,MMWR_RATING_RO_ROLLUP[#Headers],0)),"ERROR"))</f>
        <v>101.95770392750001</v>
      </c>
      <c r="E19" s="156">
        <f>IF($B19=" ","",IFERROR(INDEX(MMWR_RATING_RO_ROLLUP[],MATCH($B19,MMWR_RATING_RO_ROLLUP[MMWR_RATING_RO_ROLLUP],0),MATCH(E$9,MMWR_RATING_RO_ROLLUP[#Headers],0))/$C19,"ERROR"))</f>
        <v>0.30916414904330314</v>
      </c>
      <c r="F19" s="154">
        <f>IF($B19=" ","",IFERROR(INDEX(MMWR_RATING_RO_ROLLUP[],MATCH($B19,MMWR_RATING_RO_ROLLUP[MMWR_RATING_RO_ROLLUP],0),MATCH(F$9,MMWR_RATING_RO_ROLLUP[#Headers],0)),"ERROR"))</f>
        <v>643</v>
      </c>
      <c r="G19" s="154">
        <f>IF($B19=" ","",IFERROR(INDEX(MMWR_RATING_RO_ROLLUP[],MATCH($B19,MMWR_RATING_RO_ROLLUP[MMWR_RATING_RO_ROLLUP],0),MATCH(G$9,MMWR_RATING_RO_ROLLUP[#Headers],0)),"ERROR"))</f>
        <v>8526</v>
      </c>
      <c r="H19" s="155">
        <f>IF($B19=" ","",IFERROR(INDEX(MMWR_RATING_RO_ROLLUP[],MATCH($B19,MMWR_RATING_RO_ROLLUP[MMWR_RATING_RO_ROLLUP],0),MATCH(H$9,MMWR_RATING_RO_ROLLUP[#Headers],0)),"ERROR"))</f>
        <v>155.3685847589</v>
      </c>
      <c r="I19" s="155">
        <f>IF($B19=" ","",IFERROR(INDEX(MMWR_RATING_RO_ROLLUP[],MATCH($B19,MMWR_RATING_RO_ROLLUP[MMWR_RATING_RO_ROLLUP],0),MATCH(I$9,MMWR_RATING_RO_ROLLUP[#Headers],0)),"ERROR"))</f>
        <v>133.8632418485</v>
      </c>
      <c r="J19" s="157">
        <f>IF($B19=" ","",IFERROR(VLOOKUP($B19,MMWR_ACCURACY_RO[],MATCH(J$9,MMWR_ACCURACY_RO[#Headers],0),0),"ERROR"))</f>
        <v>0.95926984604583498</v>
      </c>
      <c r="K19" s="157">
        <f>IF($B19=" ","",IFERROR(VLOOKUP($B19,MMWR_ACCURACY_RO[],MATCH(K$9,MMWR_ACCURACY_RO[#Headers],0),0),"ERROR"))</f>
        <v>0.90241278623021404</v>
      </c>
      <c r="L19" s="157">
        <f>IF($B19=" ","",IFERROR(VLOOKUP($B19,MMWR_ACCURACY_RO[],MATCH(L$9,MMWR_ACCURACY_RO[#Headers],0),0),"ERROR"))</f>
        <v>0.89693203448661996</v>
      </c>
      <c r="M19" s="157">
        <f>IF($B19=" ","",IFERROR(VLOOKUP($B19,MMWR_ACCURACY_RO[],MATCH(M$9,MMWR_ACCURACY_RO[#Headers],0),0),"ERROR"))</f>
        <v>4.7920287070820203E-2</v>
      </c>
      <c r="N19" s="157">
        <f>IF($B19=" ","",IFERROR(VLOOKUP($B19,MMWR_ACCURACY_RO[],MATCH(N$9,MMWR_ACCURACY_RO[#Headers],0),0),"ERROR"))</f>
        <v>0.85459267784486603</v>
      </c>
      <c r="O19" s="157">
        <f>IF($B19=" ","",IFERROR(VLOOKUP($B19,MMWR_ACCURACY_RO[],MATCH(O$9,MMWR_ACCURACY_RO[#Headers],0),0),"ERROR"))</f>
        <v>4.93915498095788E-2</v>
      </c>
      <c r="P19" s="28"/>
    </row>
    <row r="20" spans="1:16" x14ac:dyDescent="0.2">
      <c r="A20" s="25"/>
      <c r="B20" s="8" t="str">
        <f>VLOOKUP($B$16,DISTRICT_RO[],5,0)</f>
        <v>Hartford VSC</v>
      </c>
      <c r="C20" s="154">
        <f>IF($B20=" ","",IFERROR(INDEX(MMWR_RATING_RO_ROLLUP[],MATCH($B20,MMWR_RATING_RO_ROLLUP[MMWR_RATING_RO_ROLLUP],0),MATCH(C$9,MMWR_RATING_RO_ROLLUP[#Headers],0)),"ERROR"))</f>
        <v>797</v>
      </c>
      <c r="D20" s="155">
        <f>IF($B20=" ","",IFERROR(INDEX(MMWR_RATING_RO_ROLLUP[],MATCH($B20,MMWR_RATING_RO_ROLLUP[MMWR_RATING_RO_ROLLUP],0),MATCH(D$9,MMWR_RATING_RO_ROLLUP[#Headers],0)),"ERROR"))</f>
        <v>103.8531994981</v>
      </c>
      <c r="E20" s="156">
        <f>IF($B20=" ","",IFERROR(INDEX(MMWR_RATING_RO_ROLLUP[],MATCH($B20,MMWR_RATING_RO_ROLLUP[MMWR_RATING_RO_ROLLUP],0),MATCH(E$9,MMWR_RATING_RO_ROLLUP[#Headers],0))/$C20,"ERROR"))</f>
        <v>0.2697616060225847</v>
      </c>
      <c r="F20" s="154">
        <f>IF($B20=" ","",IFERROR(INDEX(MMWR_RATING_RO_ROLLUP[],MATCH($B20,MMWR_RATING_RO_ROLLUP[MMWR_RATING_RO_ROLLUP],0),MATCH(F$9,MMWR_RATING_RO_ROLLUP[#Headers],0)),"ERROR"))</f>
        <v>834</v>
      </c>
      <c r="G20" s="154">
        <f>IF($B20=" ","",IFERROR(INDEX(MMWR_RATING_RO_ROLLUP[],MATCH($B20,MMWR_RATING_RO_ROLLUP[MMWR_RATING_RO_ROLLUP],0),MATCH(G$9,MMWR_RATING_RO_ROLLUP[#Headers],0)),"ERROR"))</f>
        <v>7990</v>
      </c>
      <c r="H20" s="155">
        <f>IF($B20=" ","",IFERROR(INDEX(MMWR_RATING_RO_ROLLUP[],MATCH($B20,MMWR_RATING_RO_ROLLUP[MMWR_RATING_RO_ROLLUP],0),MATCH(H$9,MMWR_RATING_RO_ROLLUP[#Headers],0)),"ERROR"))</f>
        <v>118.2482014388</v>
      </c>
      <c r="I20" s="155">
        <f>IF($B20=" ","",IFERROR(INDEX(MMWR_RATING_RO_ROLLUP[],MATCH($B20,MMWR_RATING_RO_ROLLUP[MMWR_RATING_RO_ROLLUP],0),MATCH(I$9,MMWR_RATING_RO_ROLLUP[#Headers],0)),"ERROR"))</f>
        <v>125.8386733417</v>
      </c>
      <c r="J20" s="157">
        <f>IF($B20=" ","",IFERROR(VLOOKUP($B20,MMWR_ACCURACY_RO[],MATCH(J$9,MMWR_ACCURACY_RO[#Headers],0),0),"ERROR"))</f>
        <v>0.98068869165559502</v>
      </c>
      <c r="K20" s="157">
        <f>IF($B20=" ","",IFERROR(VLOOKUP($B20,MMWR_ACCURACY_RO[],MATCH(K$9,MMWR_ACCURACY_RO[#Headers],0),0),"ERROR"))</f>
        <v>0.93820256453708395</v>
      </c>
      <c r="L20" s="157">
        <f>IF($B20=" ","",IFERROR(VLOOKUP($B20,MMWR_ACCURACY_RO[],MATCH(L$9,MMWR_ACCURACY_RO[#Headers],0),0),"ERROR"))</f>
        <v>0.92779320412044497</v>
      </c>
      <c r="M20" s="157">
        <f>IF($B20=" ","",IFERROR(VLOOKUP($B20,MMWR_ACCURACY_RO[],MATCH(M$9,MMWR_ACCURACY_RO[#Headers],0),0),"ERROR"))</f>
        <v>4.4271476300910398E-2</v>
      </c>
      <c r="N20" s="157">
        <f>IF($B20=" ","",IFERROR(VLOOKUP($B20,MMWR_ACCURACY_RO[],MATCH(N$9,MMWR_ACCURACY_RO[#Headers],0),0),"ERROR"))</f>
        <v>0.94307359307359295</v>
      </c>
      <c r="O20" s="157">
        <f>IF($B20=" ","",IFERROR(VLOOKUP($B20,MMWR_ACCURACY_RO[],MATCH(O$9,MMWR_ACCURACY_RO[#Headers],0),0),"ERROR"))</f>
        <v>4.6997468949121803E-2</v>
      </c>
      <c r="P20" s="28"/>
    </row>
    <row r="21" spans="1:16" x14ac:dyDescent="0.2">
      <c r="A21" s="25"/>
      <c r="B21" s="8" t="str">
        <f>VLOOKUP($B$16,DISTRICT_RO[],6,0)</f>
        <v>Huntington VSC</v>
      </c>
      <c r="C21" s="154">
        <f>IF($B21=" ","",IFERROR(INDEX(MMWR_RATING_RO_ROLLUP[],MATCH($B21,MMWR_RATING_RO_ROLLUP[MMWR_RATING_RO_ROLLUP],0),MATCH(C$9,MMWR_RATING_RO_ROLLUP[#Headers],0)),"ERROR"))</f>
        <v>2585</v>
      </c>
      <c r="D21" s="155">
        <f>IF($B21=" ","",IFERROR(INDEX(MMWR_RATING_RO_ROLLUP[],MATCH($B21,MMWR_RATING_RO_ROLLUP[MMWR_RATING_RO_ROLLUP],0),MATCH(D$9,MMWR_RATING_RO_ROLLUP[#Headers],0)),"ERROR"))</f>
        <v>79.917988394600002</v>
      </c>
      <c r="E21" s="156">
        <f>IF($B21=" ","",IFERROR(INDEX(MMWR_RATING_RO_ROLLUP[],MATCH($B21,MMWR_RATING_RO_ROLLUP[MMWR_RATING_RO_ROLLUP],0),MATCH(E$9,MMWR_RATING_RO_ROLLUP[#Headers],0))/$C21,"ERROR"))</f>
        <v>0.12882011605415861</v>
      </c>
      <c r="F21" s="154">
        <f>IF($B21=" ","",IFERROR(INDEX(MMWR_RATING_RO_ROLLUP[],MATCH($B21,MMWR_RATING_RO_ROLLUP[MMWR_RATING_RO_ROLLUP],0),MATCH(F$9,MMWR_RATING_RO_ROLLUP[#Headers],0)),"ERROR"))</f>
        <v>1431</v>
      </c>
      <c r="G21" s="154">
        <f>IF($B21=" ","",IFERROR(INDEX(MMWR_RATING_RO_ROLLUP[],MATCH($B21,MMWR_RATING_RO_ROLLUP[MMWR_RATING_RO_ROLLUP],0),MATCH(G$9,MMWR_RATING_RO_ROLLUP[#Headers],0)),"ERROR"))</f>
        <v>13809</v>
      </c>
      <c r="H21" s="155">
        <f>IF($B21=" ","",IFERROR(INDEX(MMWR_RATING_RO_ROLLUP[],MATCH($B21,MMWR_RATING_RO_ROLLUP[MMWR_RATING_RO_ROLLUP],0),MATCH(H$9,MMWR_RATING_RO_ROLLUP[#Headers],0)),"ERROR"))</f>
        <v>115.2955974843</v>
      </c>
      <c r="I21" s="155">
        <f>IF($B21=" ","",IFERROR(INDEX(MMWR_RATING_RO_ROLLUP[],MATCH($B21,MMWR_RATING_RO_ROLLUP[MMWR_RATING_RO_ROLLUP],0),MATCH(I$9,MMWR_RATING_RO_ROLLUP[#Headers],0)),"ERROR"))</f>
        <v>127.4449996379</v>
      </c>
      <c r="J21" s="157">
        <f>IF($B21=" ","",IFERROR(VLOOKUP($B21,MMWR_ACCURACY_RO[],MATCH(J$9,MMWR_ACCURACY_RO[#Headers],0),0),"ERROR"))</f>
        <v>0.97442158530926104</v>
      </c>
      <c r="K21" s="157">
        <f>IF($B21=" ","",IFERROR(VLOOKUP($B21,MMWR_ACCURACY_RO[],MATCH(K$9,MMWR_ACCURACY_RO[#Headers],0),0),"ERROR"))</f>
        <v>0.90296513107661003</v>
      </c>
      <c r="L21" s="157">
        <f>IF($B21=" ","",IFERROR(VLOOKUP($B21,MMWR_ACCURACY_RO[],MATCH(L$9,MMWR_ACCURACY_RO[#Headers],0),0),"ERROR"))</f>
        <v>0.87672402884980405</v>
      </c>
      <c r="M21" s="157">
        <f>IF($B21=" ","",IFERROR(VLOOKUP($B21,MMWR_ACCURACY_RO[],MATCH(M$9,MMWR_ACCURACY_RO[#Headers],0),0),"ERROR"))</f>
        <v>4.8457498326536202E-2</v>
      </c>
      <c r="N21" s="157">
        <f>IF($B21=" ","",IFERROR(VLOOKUP($B21,MMWR_ACCURACY_RO[],MATCH(N$9,MMWR_ACCURACY_RO[#Headers],0),0),"ERROR"))</f>
        <v>0.89849844709711302</v>
      </c>
      <c r="O21" s="157">
        <f>IF($B21=" ","",IFERROR(VLOOKUP($B21,MMWR_ACCURACY_RO[],MATCH(O$9,MMWR_ACCURACY_RO[#Headers],0),0),"ERROR"))</f>
        <v>4.7045346468051003E-2</v>
      </c>
      <c r="P21" s="28"/>
    </row>
    <row r="22" spans="1:16" x14ac:dyDescent="0.2">
      <c r="A22" s="25"/>
      <c r="B22" s="8" t="str">
        <f>VLOOKUP($B$16,DISTRICT_RO[],7,0)</f>
        <v>Manchester VSC</v>
      </c>
      <c r="C22" s="154">
        <f>IF($B22=" ","",IFERROR(INDEX(MMWR_RATING_RO_ROLLUP[],MATCH($B22,MMWR_RATING_RO_ROLLUP[MMWR_RATING_RO_ROLLUP],0),MATCH(C$9,MMWR_RATING_RO_ROLLUP[#Headers],0)),"ERROR"))</f>
        <v>490</v>
      </c>
      <c r="D22" s="155">
        <f>IF($B22=" ","",IFERROR(INDEX(MMWR_RATING_RO_ROLLUP[],MATCH($B22,MMWR_RATING_RO_ROLLUP[MMWR_RATING_RO_ROLLUP],0),MATCH(D$9,MMWR_RATING_RO_ROLLUP[#Headers],0)),"ERROR"))</f>
        <v>113.3734693878</v>
      </c>
      <c r="E22" s="156">
        <f>IF($B22=" ","",IFERROR(INDEX(MMWR_RATING_RO_ROLLUP[],MATCH($B22,MMWR_RATING_RO_ROLLUP[MMWR_RATING_RO_ROLLUP],0),MATCH(E$9,MMWR_RATING_RO_ROLLUP[#Headers],0))/$C22,"ERROR"))</f>
        <v>0.37551020408163266</v>
      </c>
      <c r="F22" s="154">
        <f>IF($B22=" ","",IFERROR(INDEX(MMWR_RATING_RO_ROLLUP[],MATCH($B22,MMWR_RATING_RO_ROLLUP[MMWR_RATING_RO_ROLLUP],0),MATCH(F$9,MMWR_RATING_RO_ROLLUP[#Headers],0)),"ERROR"))</f>
        <v>350</v>
      </c>
      <c r="G22" s="154">
        <f>IF($B22=" ","",IFERROR(INDEX(MMWR_RATING_RO_ROLLUP[],MATCH($B22,MMWR_RATING_RO_ROLLUP[MMWR_RATING_RO_ROLLUP],0),MATCH(G$9,MMWR_RATING_RO_ROLLUP[#Headers],0)),"ERROR"))</f>
        <v>3472</v>
      </c>
      <c r="H22" s="155">
        <f>IF($B22=" ","",IFERROR(INDEX(MMWR_RATING_RO_ROLLUP[],MATCH($B22,MMWR_RATING_RO_ROLLUP[MMWR_RATING_RO_ROLLUP],0),MATCH(H$9,MMWR_RATING_RO_ROLLUP[#Headers],0)),"ERROR"))</f>
        <v>137.12571428570001</v>
      </c>
      <c r="I22" s="155">
        <f>IF($B22=" ","",IFERROR(INDEX(MMWR_RATING_RO_ROLLUP[],MATCH($B22,MMWR_RATING_RO_ROLLUP[MMWR_RATING_RO_ROLLUP],0),MATCH(I$9,MMWR_RATING_RO_ROLLUP[#Headers],0)),"ERROR"))</f>
        <v>132.58150921660001</v>
      </c>
      <c r="J22" s="157">
        <f>IF($B22=" ","",IFERROR(VLOOKUP($B22,MMWR_ACCURACY_RO[],MATCH(J$9,MMWR_ACCURACY_RO[#Headers],0),0),"ERROR"))</f>
        <v>0.97013701421076803</v>
      </c>
      <c r="K22" s="157">
        <f>IF($B22=" ","",IFERROR(VLOOKUP($B22,MMWR_ACCURACY_RO[],MATCH(K$9,MMWR_ACCURACY_RO[#Headers],0),0),"ERROR"))</f>
        <v>0.90144452842865497</v>
      </c>
      <c r="L22" s="157">
        <f>IF($B22=" ","",IFERROR(VLOOKUP($B22,MMWR_ACCURACY_RO[],MATCH(L$9,MMWR_ACCURACY_RO[#Headers],0),0),"ERROR"))</f>
        <v>0.89876098297638596</v>
      </c>
      <c r="M22" s="157">
        <f>IF($B22=" ","",IFERROR(VLOOKUP($B22,MMWR_ACCURACY_RO[],MATCH(M$9,MMWR_ACCURACY_RO[#Headers],0),0),"ERROR"))</f>
        <v>4.4138516467842899E-2</v>
      </c>
      <c r="N22" s="157">
        <f>IF($B22=" ","",IFERROR(VLOOKUP($B22,MMWR_ACCURACY_RO[],MATCH(N$9,MMWR_ACCURACY_RO[#Headers],0),0),"ERROR"))</f>
        <v>0.87528553489206495</v>
      </c>
      <c r="O22" s="157">
        <f>IF($B22=" ","",IFERROR(VLOOKUP($B22,MMWR_ACCURACY_RO[],MATCH(O$9,MMWR_ACCURACY_RO[#Headers],0),0),"ERROR"))</f>
        <v>5.7207236605424303E-2</v>
      </c>
      <c r="P22" s="28"/>
    </row>
    <row r="23" spans="1:16" x14ac:dyDescent="0.2">
      <c r="A23" s="25"/>
      <c r="B23" s="8" t="str">
        <f>VLOOKUP($B$16,DISTRICT_RO[],8,0)</f>
        <v>New York VSC</v>
      </c>
      <c r="C23" s="154">
        <f>IF($B23=" ","",IFERROR(INDEX(MMWR_RATING_RO_ROLLUP[],MATCH($B23,MMWR_RATING_RO_ROLLUP[MMWR_RATING_RO_ROLLUP],0),MATCH(C$9,MMWR_RATING_RO_ROLLUP[#Headers],0)),"ERROR"))</f>
        <v>1479</v>
      </c>
      <c r="D23" s="155">
        <f>IF($B23=" ","",IFERROR(INDEX(MMWR_RATING_RO_ROLLUP[],MATCH($B23,MMWR_RATING_RO_ROLLUP[MMWR_RATING_RO_ROLLUP],0),MATCH(D$9,MMWR_RATING_RO_ROLLUP[#Headers],0)),"ERROR"))</f>
        <v>117.939148073</v>
      </c>
      <c r="E23" s="156">
        <f>IF($B23=" ","",IFERROR(INDEX(MMWR_RATING_RO_ROLLUP[],MATCH($B23,MMWR_RATING_RO_ROLLUP[MMWR_RATING_RO_ROLLUP],0),MATCH(E$9,MMWR_RATING_RO_ROLLUP[#Headers],0))/$C23,"ERROR"))</f>
        <v>0.32454361054766734</v>
      </c>
      <c r="F23" s="154">
        <f>IF($B23=" ","",IFERROR(INDEX(MMWR_RATING_RO_ROLLUP[],MATCH($B23,MMWR_RATING_RO_ROLLUP[MMWR_RATING_RO_ROLLUP],0),MATCH(F$9,MMWR_RATING_RO_ROLLUP[#Headers],0)),"ERROR"))</f>
        <v>689</v>
      </c>
      <c r="G23" s="154">
        <f>IF($B23=" ","",IFERROR(INDEX(MMWR_RATING_RO_ROLLUP[],MATCH($B23,MMWR_RATING_RO_ROLLUP[MMWR_RATING_RO_ROLLUP],0),MATCH(G$9,MMWR_RATING_RO_ROLLUP[#Headers],0)),"ERROR"))</f>
        <v>9348</v>
      </c>
      <c r="H23" s="155">
        <f>IF($B23=" ","",IFERROR(INDEX(MMWR_RATING_RO_ROLLUP[],MATCH($B23,MMWR_RATING_RO_ROLLUP[MMWR_RATING_RO_ROLLUP],0),MATCH(H$9,MMWR_RATING_RO_ROLLUP[#Headers],0)),"ERROR"))</f>
        <v>158.70101596520001</v>
      </c>
      <c r="I23" s="155">
        <f>IF($B23=" ","",IFERROR(INDEX(MMWR_RATING_RO_ROLLUP[],MATCH($B23,MMWR_RATING_RO_ROLLUP[MMWR_RATING_RO_ROLLUP],0),MATCH(I$9,MMWR_RATING_RO_ROLLUP[#Headers],0)),"ERROR"))</f>
        <v>133.18068035939999</v>
      </c>
      <c r="J23" s="157">
        <f>IF($B23=" ","",IFERROR(VLOOKUP($B23,MMWR_ACCURACY_RO[],MATCH(J$9,MMWR_ACCURACY_RO[#Headers],0),0),"ERROR"))</f>
        <v>0.93814788167473995</v>
      </c>
      <c r="K23" s="157">
        <f>IF($B23=" ","",IFERROR(VLOOKUP($B23,MMWR_ACCURACY_RO[],MATCH(K$9,MMWR_ACCURACY_RO[#Headers],0),0),"ERROR"))</f>
        <v>0.87274806093754798</v>
      </c>
      <c r="L23" s="157">
        <f>IF($B23=" ","",IFERROR(VLOOKUP($B23,MMWR_ACCURACY_RO[],MATCH(L$9,MMWR_ACCURACY_RO[#Headers],0),0),"ERROR"))</f>
        <v>0.87191749462785995</v>
      </c>
      <c r="M23" s="157">
        <f>IF($B23=" ","",IFERROR(VLOOKUP($B23,MMWR_ACCURACY_RO[],MATCH(M$9,MMWR_ACCURACY_RO[#Headers],0),0),"ERROR"))</f>
        <v>5.10509932455223E-2</v>
      </c>
      <c r="N23" s="157">
        <f>IF($B23=" ","",IFERROR(VLOOKUP($B23,MMWR_ACCURACY_RO[],MATCH(N$9,MMWR_ACCURACY_RO[#Headers],0),0),"ERROR"))</f>
        <v>0.91433992235894301</v>
      </c>
      <c r="O23" s="157">
        <f>IF($B23=" ","",IFERROR(VLOOKUP($B23,MMWR_ACCURACY_RO[],MATCH(O$9,MMWR_ACCURACY_RO[#Headers],0),0),"ERROR"))</f>
        <v>4.2794130526865398E-2</v>
      </c>
      <c r="P23" s="28"/>
    </row>
    <row r="24" spans="1:16" x14ac:dyDescent="0.2">
      <c r="A24" s="25"/>
      <c r="B24" s="8" t="str">
        <f>VLOOKUP($B$16,DISTRICT_RO[],9,0)</f>
        <v>Newark VSC</v>
      </c>
      <c r="C24" s="154">
        <f>IF($B24=" ","",IFERROR(INDEX(MMWR_RATING_RO_ROLLUP[],MATCH($B24,MMWR_RATING_RO_ROLLUP[MMWR_RATING_RO_ROLLUP],0),MATCH(C$9,MMWR_RATING_RO_ROLLUP[#Headers],0)),"ERROR"))</f>
        <v>866</v>
      </c>
      <c r="D24" s="155">
        <f>IF($B24=" ","",IFERROR(INDEX(MMWR_RATING_RO_ROLLUP[],MATCH($B24,MMWR_RATING_RO_ROLLUP[MMWR_RATING_RO_ROLLUP],0),MATCH(D$9,MMWR_RATING_RO_ROLLUP[#Headers],0)),"ERROR"))</f>
        <v>119.3221709007</v>
      </c>
      <c r="E24" s="156">
        <f>IF($B24=" ","",IFERROR(INDEX(MMWR_RATING_RO_ROLLUP[],MATCH($B24,MMWR_RATING_RO_ROLLUP[MMWR_RATING_RO_ROLLUP],0),MATCH(E$9,MMWR_RATING_RO_ROLLUP[#Headers],0))/$C24,"ERROR"))</f>
        <v>0.39260969976905313</v>
      </c>
      <c r="F24" s="154">
        <f>IF($B24=" ","",IFERROR(INDEX(MMWR_RATING_RO_ROLLUP[],MATCH($B24,MMWR_RATING_RO_ROLLUP[MMWR_RATING_RO_ROLLUP],0),MATCH(F$9,MMWR_RATING_RO_ROLLUP[#Headers],0)),"ERROR"))</f>
        <v>306</v>
      </c>
      <c r="G24" s="154">
        <f>IF($B24=" ","",IFERROR(INDEX(MMWR_RATING_RO_ROLLUP[],MATCH($B24,MMWR_RATING_RO_ROLLUP[MMWR_RATING_RO_ROLLUP],0),MATCH(G$9,MMWR_RATING_RO_ROLLUP[#Headers],0)),"ERROR"))</f>
        <v>4376</v>
      </c>
      <c r="H24" s="155">
        <f>IF($B24=" ","",IFERROR(INDEX(MMWR_RATING_RO_ROLLUP[],MATCH($B24,MMWR_RATING_RO_ROLLUP[MMWR_RATING_RO_ROLLUP],0),MATCH(H$9,MMWR_RATING_RO_ROLLUP[#Headers],0)),"ERROR"))</f>
        <v>178.408496732</v>
      </c>
      <c r="I24" s="155">
        <f>IF($B24=" ","",IFERROR(INDEX(MMWR_RATING_RO_ROLLUP[],MATCH($B24,MMWR_RATING_RO_ROLLUP[MMWR_RATING_RO_ROLLUP],0),MATCH(I$9,MMWR_RATING_RO_ROLLUP[#Headers],0)),"ERROR"))</f>
        <v>143.59255027419999</v>
      </c>
      <c r="J24" s="157">
        <f>IF($B24=" ","",IFERROR(VLOOKUP($B24,MMWR_ACCURACY_RO[],MATCH(J$9,MMWR_ACCURACY_RO[#Headers],0),0),"ERROR"))</f>
        <v>0.95214199809231503</v>
      </c>
      <c r="K24" s="157">
        <f>IF($B24=" ","",IFERROR(VLOOKUP($B24,MMWR_ACCURACY_RO[],MATCH(K$9,MMWR_ACCURACY_RO[#Headers],0),0),"ERROR"))</f>
        <v>0.89667266187050398</v>
      </c>
      <c r="L24" s="157">
        <f>IF($B24=" ","",IFERROR(VLOOKUP($B24,MMWR_ACCURACY_RO[],MATCH(L$9,MMWR_ACCURACY_RO[#Headers],0),0),"ERROR"))</f>
        <v>0.90428581260107999</v>
      </c>
      <c r="M24" s="157">
        <f>IF($B24=" ","",IFERROR(VLOOKUP($B24,MMWR_ACCURACY_RO[],MATCH(M$9,MMWR_ACCURACY_RO[#Headers],0),0),"ERROR"))</f>
        <v>3.9477569540227901E-2</v>
      </c>
      <c r="N24" s="157">
        <f>IF($B24=" ","",IFERROR(VLOOKUP($B24,MMWR_ACCURACY_RO[],MATCH(N$9,MMWR_ACCURACY_RO[#Headers],0),0),"ERROR"))</f>
        <v>0.85679246064442405</v>
      </c>
      <c r="O24" s="157">
        <f>IF($B24=" ","",IFERROR(VLOOKUP($B24,MMWR_ACCURACY_RO[],MATCH(O$9,MMWR_ACCURACY_RO[#Headers],0),0),"ERROR"))</f>
        <v>5.2328934940198801E-2</v>
      </c>
      <c r="P24" s="28"/>
    </row>
    <row r="25" spans="1:16" x14ac:dyDescent="0.2">
      <c r="A25" s="25"/>
      <c r="B25" s="8" t="str">
        <f>VLOOKUP($B$16,DISTRICT_RO[],10,0)</f>
        <v>Philadelphia VSC</v>
      </c>
      <c r="C25" s="154">
        <f>IF($B25=" ","",IFERROR(INDEX(MMWR_RATING_RO_ROLLUP[],MATCH($B25,MMWR_RATING_RO_ROLLUP[MMWR_RATING_RO_ROLLUP],0),MATCH(C$9,MMWR_RATING_RO_ROLLUP[#Headers],0)),"ERROR"))</f>
        <v>3080</v>
      </c>
      <c r="D25" s="155">
        <f>IF($B25=" ","",IFERROR(INDEX(MMWR_RATING_RO_ROLLUP[],MATCH($B25,MMWR_RATING_RO_ROLLUP[MMWR_RATING_RO_ROLLUP],0),MATCH(D$9,MMWR_RATING_RO_ROLLUP[#Headers],0)),"ERROR"))</f>
        <v>125.737012987</v>
      </c>
      <c r="E25" s="156">
        <f>IF($B25=" ","",IFERROR(INDEX(MMWR_RATING_RO_ROLLUP[],MATCH($B25,MMWR_RATING_RO_ROLLUP[MMWR_RATING_RO_ROLLUP],0),MATCH(E$9,MMWR_RATING_RO_ROLLUP[#Headers],0))/$C25,"ERROR"))</f>
        <v>0.35194805194805195</v>
      </c>
      <c r="F25" s="154">
        <f>IF($B25=" ","",IFERROR(INDEX(MMWR_RATING_RO_ROLLUP[],MATCH($B25,MMWR_RATING_RO_ROLLUP[MMWR_RATING_RO_ROLLUP],0),MATCH(F$9,MMWR_RATING_RO_ROLLUP[#Headers],0)),"ERROR"))</f>
        <v>1960</v>
      </c>
      <c r="G25" s="154">
        <f>IF($B25=" ","",IFERROR(INDEX(MMWR_RATING_RO_ROLLUP[],MATCH($B25,MMWR_RATING_RO_ROLLUP[MMWR_RATING_RO_ROLLUP],0),MATCH(G$9,MMWR_RATING_RO_ROLLUP[#Headers],0)),"ERROR"))</f>
        <v>19664</v>
      </c>
      <c r="H25" s="155">
        <f>IF($B25=" ","",IFERROR(INDEX(MMWR_RATING_RO_ROLLUP[],MATCH($B25,MMWR_RATING_RO_ROLLUP[MMWR_RATING_RO_ROLLUP],0),MATCH(H$9,MMWR_RATING_RO_ROLLUP[#Headers],0)),"ERROR"))</f>
        <v>140.11989795919999</v>
      </c>
      <c r="I25" s="155">
        <f>IF($B25=" ","",IFERROR(INDEX(MMWR_RATING_RO_ROLLUP[],MATCH($B25,MMWR_RATING_RO_ROLLUP[MMWR_RATING_RO_ROLLUP],0),MATCH(I$9,MMWR_RATING_RO_ROLLUP[#Headers],0)),"ERROR"))</f>
        <v>145.5348860862</v>
      </c>
      <c r="J25" s="157">
        <f>IF($B25=" ","",IFERROR(VLOOKUP($B25,MMWR_ACCURACY_RO[],MATCH(J$9,MMWR_ACCURACY_RO[#Headers],0),0),"ERROR"))</f>
        <v>0.94628007849308804</v>
      </c>
      <c r="K25" s="157">
        <f>IF($B25=" ","",IFERROR(VLOOKUP($B25,MMWR_ACCURACY_RO[],MATCH(K$9,MMWR_ACCURACY_RO[#Headers],0),0),"ERROR"))</f>
        <v>0.89027388022362897</v>
      </c>
      <c r="L25" s="157">
        <f>IF($B25=" ","",IFERROR(VLOOKUP($B25,MMWR_ACCURACY_RO[],MATCH(L$9,MMWR_ACCURACY_RO[#Headers],0),0),"ERROR"))</f>
        <v>0.90797815441669005</v>
      </c>
      <c r="M25" s="157">
        <f>IF($B25=" ","",IFERROR(VLOOKUP($B25,MMWR_ACCURACY_RO[],MATCH(M$9,MMWR_ACCURACY_RO[#Headers],0),0),"ERROR"))</f>
        <v>4.0546343801548902E-2</v>
      </c>
      <c r="N25" s="157">
        <f>IF($B25=" ","",IFERROR(VLOOKUP($B25,MMWR_ACCURACY_RO[],MATCH(N$9,MMWR_ACCURACY_RO[#Headers],0),0),"ERROR"))</f>
        <v>0.86444863285205198</v>
      </c>
      <c r="O25" s="157">
        <f>IF($B25=" ","",IFERROR(VLOOKUP($B25,MMWR_ACCURACY_RO[],MATCH(O$9,MMWR_ACCURACY_RO[#Headers],0),0),"ERROR"))</f>
        <v>5.6895880287101103E-2</v>
      </c>
      <c r="P25" s="28"/>
    </row>
    <row r="26" spans="1:16" x14ac:dyDescent="0.2">
      <c r="A26" s="25"/>
      <c r="B26" s="8" t="str">
        <f>VLOOKUP($B$16,DISTRICT_RO[],11,0)</f>
        <v>Pittsburgh VSC</v>
      </c>
      <c r="C26" s="154">
        <f>IF($B26=" ","",IFERROR(INDEX(MMWR_RATING_RO_ROLLUP[],MATCH($B26,MMWR_RATING_RO_ROLLUP[MMWR_RATING_RO_ROLLUP],0),MATCH(C$9,MMWR_RATING_RO_ROLLUP[#Headers],0)),"ERROR"))</f>
        <v>937</v>
      </c>
      <c r="D26" s="155">
        <f>IF($B26=" ","",IFERROR(INDEX(MMWR_RATING_RO_ROLLUP[],MATCH($B26,MMWR_RATING_RO_ROLLUP[MMWR_RATING_RO_ROLLUP],0),MATCH(D$9,MMWR_RATING_RO_ROLLUP[#Headers],0)),"ERROR"))</f>
        <v>138.16862326570001</v>
      </c>
      <c r="E26" s="156">
        <f>IF($B26=" ","",IFERROR(INDEX(MMWR_RATING_RO_ROLLUP[],MATCH($B26,MMWR_RATING_RO_ROLLUP[MMWR_RATING_RO_ROLLUP],0),MATCH(E$9,MMWR_RATING_RO_ROLLUP[#Headers],0))/$C26,"ERROR"))</f>
        <v>0.48132337246531481</v>
      </c>
      <c r="F26" s="154">
        <f>IF($B26=" ","",IFERROR(INDEX(MMWR_RATING_RO_ROLLUP[],MATCH($B26,MMWR_RATING_RO_ROLLUP[MMWR_RATING_RO_ROLLUP],0),MATCH(F$9,MMWR_RATING_RO_ROLLUP[#Headers],0)),"ERROR"))</f>
        <v>873</v>
      </c>
      <c r="G26" s="154">
        <f>IF($B26=" ","",IFERROR(INDEX(MMWR_RATING_RO_ROLLUP[],MATCH($B26,MMWR_RATING_RO_ROLLUP[MMWR_RATING_RO_ROLLUP],0),MATCH(G$9,MMWR_RATING_RO_ROLLUP[#Headers],0)),"ERROR"))</f>
        <v>9227</v>
      </c>
      <c r="H26" s="155">
        <f>IF($B26=" ","",IFERROR(INDEX(MMWR_RATING_RO_ROLLUP[],MATCH($B26,MMWR_RATING_RO_ROLLUP[MMWR_RATING_RO_ROLLUP],0),MATCH(H$9,MMWR_RATING_RO_ROLLUP[#Headers],0)),"ERROR"))</f>
        <v>201.1374570447</v>
      </c>
      <c r="I26" s="155">
        <f>IF($B26=" ","",IFERROR(INDEX(MMWR_RATING_RO_ROLLUP[],MATCH($B26,MMWR_RATING_RO_ROLLUP[MMWR_RATING_RO_ROLLUP],0),MATCH(I$9,MMWR_RATING_RO_ROLLUP[#Headers],0)),"ERROR"))</f>
        <v>173.62523030240001</v>
      </c>
      <c r="J26" s="157">
        <f>IF($B26=" ","",IFERROR(VLOOKUP($B26,MMWR_ACCURACY_RO[],MATCH(J$9,MMWR_ACCURACY_RO[#Headers],0),0),"ERROR"))</f>
        <v>0.95793217049462098</v>
      </c>
      <c r="K26" s="157">
        <f>IF($B26=" ","",IFERROR(VLOOKUP($B26,MMWR_ACCURACY_RO[],MATCH(K$9,MMWR_ACCURACY_RO[#Headers],0),0),"ERROR"))</f>
        <v>0.85860801647551099</v>
      </c>
      <c r="L26" s="157">
        <f>IF($B26=" ","",IFERROR(VLOOKUP($B26,MMWR_ACCURACY_RO[],MATCH(L$9,MMWR_ACCURACY_RO[#Headers],0),0),"ERROR"))</f>
        <v>0.87937727771437402</v>
      </c>
      <c r="M26" s="157">
        <f>IF($B26=" ","",IFERROR(VLOOKUP($B26,MMWR_ACCURACY_RO[],MATCH(M$9,MMWR_ACCURACY_RO[#Headers],0),0),"ERROR"))</f>
        <v>4.7506445381002002E-2</v>
      </c>
      <c r="N26" s="157">
        <f>IF($B26=" ","",IFERROR(VLOOKUP($B26,MMWR_ACCURACY_RO[],MATCH(N$9,MMWR_ACCURACY_RO[#Headers],0),0),"ERROR"))</f>
        <v>0.88973110411783196</v>
      </c>
      <c r="O26" s="157">
        <f>IF($B26=" ","",IFERROR(VLOOKUP($B26,MMWR_ACCURACY_RO[],MATCH(O$9,MMWR_ACCURACY_RO[#Headers],0),0),"ERROR"))</f>
        <v>5.6191515520256599E-2</v>
      </c>
      <c r="P26" s="28"/>
    </row>
    <row r="27" spans="1:16" x14ac:dyDescent="0.2">
      <c r="A27" s="25"/>
      <c r="B27" s="8" t="str">
        <f>VLOOKUP($B$16,DISTRICT_RO[],12,0)</f>
        <v>Providence VSC</v>
      </c>
      <c r="C27" s="154">
        <f>IF($B27=" ","",IFERROR(INDEX(MMWR_RATING_RO_ROLLUP[],MATCH($B27,MMWR_RATING_RO_ROLLUP[MMWR_RATING_RO_ROLLUP],0),MATCH(C$9,MMWR_RATING_RO_ROLLUP[#Headers],0)),"ERROR"))</f>
        <v>2092</v>
      </c>
      <c r="D27" s="155">
        <f>IF($B27=" ","",IFERROR(INDEX(MMWR_RATING_RO_ROLLUP[],MATCH($B27,MMWR_RATING_RO_ROLLUP[MMWR_RATING_RO_ROLLUP],0),MATCH(D$9,MMWR_RATING_RO_ROLLUP[#Headers],0)),"ERROR"))</f>
        <v>59.076481835599999</v>
      </c>
      <c r="E27" s="156">
        <f>IF($B27=" ","",IFERROR(INDEX(MMWR_RATING_RO_ROLLUP[],MATCH($B27,MMWR_RATING_RO_ROLLUP[MMWR_RATING_RO_ROLLUP],0),MATCH(E$9,MMWR_RATING_RO_ROLLUP[#Headers],0))/$C27,"ERROR"))</f>
        <v>0.10325047801147227</v>
      </c>
      <c r="F27" s="154">
        <f>IF($B27=" ","",IFERROR(INDEX(MMWR_RATING_RO_ROLLUP[],MATCH($B27,MMWR_RATING_RO_ROLLUP[MMWR_RATING_RO_ROLLUP],0),MATCH(F$9,MMWR_RATING_RO_ROLLUP[#Headers],0)),"ERROR"))</f>
        <v>2366</v>
      </c>
      <c r="G27" s="154">
        <f>IF($B27=" ","",IFERROR(INDEX(MMWR_RATING_RO_ROLLUP[],MATCH($B27,MMWR_RATING_RO_ROLLUP[MMWR_RATING_RO_ROLLUP],0),MATCH(G$9,MMWR_RATING_RO_ROLLUP[#Headers],0)),"ERROR"))</f>
        <v>21854</v>
      </c>
      <c r="H27" s="155">
        <f>IF($B27=" ","",IFERROR(INDEX(MMWR_RATING_RO_ROLLUP[],MATCH($B27,MMWR_RATING_RO_ROLLUP[MMWR_RATING_RO_ROLLUP],0),MATCH(H$9,MMWR_RATING_RO_ROLLUP[#Headers],0)),"ERROR"))</f>
        <v>66.240067624700004</v>
      </c>
      <c r="I27" s="155">
        <f>IF($B27=" ","",IFERROR(INDEX(MMWR_RATING_RO_ROLLUP[],MATCH($B27,MMWR_RATING_RO_ROLLUP[MMWR_RATING_RO_ROLLUP],0),MATCH(I$9,MMWR_RATING_RO_ROLLUP[#Headers],0)),"ERROR"))</f>
        <v>72.303010890500005</v>
      </c>
      <c r="J27" s="157">
        <f>IF($B27=" ","",IFERROR(VLOOKUP($B27,MMWR_ACCURACY_RO[],MATCH(J$9,MMWR_ACCURACY_RO[#Headers],0),0),"ERROR"))</f>
        <v>0.94296670230941904</v>
      </c>
      <c r="K27" s="157">
        <f>IF($B27=" ","",IFERROR(VLOOKUP($B27,MMWR_ACCURACY_RO[],MATCH(K$9,MMWR_ACCURACY_RO[#Headers],0),0),"ERROR"))</f>
        <v>0.85349718209980197</v>
      </c>
      <c r="L27" s="157">
        <f>IF($B27=" ","",IFERROR(VLOOKUP($B27,MMWR_ACCURACY_RO[],MATCH(L$9,MMWR_ACCURACY_RO[#Headers],0),0),"ERROR"))</f>
        <v>0.88856606333828703</v>
      </c>
      <c r="M27" s="157">
        <f>IF($B27=" ","",IFERROR(VLOOKUP($B27,MMWR_ACCURACY_RO[],MATCH(M$9,MMWR_ACCURACY_RO[#Headers],0),0),"ERROR"))</f>
        <v>5.0706483762728398E-2</v>
      </c>
      <c r="N27" s="157">
        <f>IF($B27=" ","",IFERROR(VLOOKUP($B27,MMWR_ACCURACY_RO[],MATCH(N$9,MMWR_ACCURACY_RO[#Headers],0),0),"ERROR"))</f>
        <v>0.93977915265468903</v>
      </c>
      <c r="O27" s="157">
        <f>IF($B27=" ","",IFERROR(VLOOKUP($B27,MMWR_ACCURACY_RO[],MATCH(O$9,MMWR_ACCURACY_RO[#Headers],0),0),"ERROR"))</f>
        <v>3.9216633604310797E-2</v>
      </c>
      <c r="P27" s="28"/>
    </row>
    <row r="28" spans="1:16" x14ac:dyDescent="0.2">
      <c r="A28" s="25"/>
      <c r="B28" s="8" t="str">
        <f>VLOOKUP($B$16,DISTRICT_RO[],13,0)</f>
        <v>Roanoke VSC</v>
      </c>
      <c r="C28" s="154">
        <f>IF($B28=" ","",IFERROR(INDEX(MMWR_RATING_RO_ROLLUP[],MATCH($B28,MMWR_RATING_RO_ROLLUP[MMWR_RATING_RO_ROLLUP],0),MATCH(C$9,MMWR_RATING_RO_ROLLUP[#Headers],0)),"ERROR"))</f>
        <v>3547</v>
      </c>
      <c r="D28" s="155">
        <f>IF($B28=" ","",IFERROR(INDEX(MMWR_RATING_RO_ROLLUP[],MATCH($B28,MMWR_RATING_RO_ROLLUP[MMWR_RATING_RO_ROLLUP],0),MATCH(D$9,MMWR_RATING_RO_ROLLUP[#Headers],0)),"ERROR"))</f>
        <v>100.9173949817</v>
      </c>
      <c r="E28" s="156">
        <f>IF($B28=" ","",IFERROR(INDEX(MMWR_RATING_RO_ROLLUP[],MATCH($B28,MMWR_RATING_RO_ROLLUP[MMWR_RATING_RO_ROLLUP],0),MATCH(E$9,MMWR_RATING_RO_ROLLUP[#Headers],0))/$C28,"ERROR"))</f>
        <v>0.28023681984775867</v>
      </c>
      <c r="F28" s="154">
        <f>IF($B28=" ","",IFERROR(INDEX(MMWR_RATING_RO_ROLLUP[],MATCH($B28,MMWR_RATING_RO_ROLLUP[MMWR_RATING_RO_ROLLUP],0),MATCH(F$9,MMWR_RATING_RO_ROLLUP[#Headers],0)),"ERROR"))</f>
        <v>2828</v>
      </c>
      <c r="G28" s="154">
        <f>IF($B28=" ","",IFERROR(INDEX(MMWR_RATING_RO_ROLLUP[],MATCH($B28,MMWR_RATING_RO_ROLLUP[MMWR_RATING_RO_ROLLUP],0),MATCH(G$9,MMWR_RATING_RO_ROLLUP[#Headers],0)),"ERROR"))</f>
        <v>28900</v>
      </c>
      <c r="H28" s="155">
        <f>IF($B28=" ","",IFERROR(INDEX(MMWR_RATING_RO_ROLLUP[],MATCH($B28,MMWR_RATING_RO_ROLLUP[MMWR_RATING_RO_ROLLUP],0),MATCH(H$9,MMWR_RATING_RO_ROLLUP[#Headers],0)),"ERROR"))</f>
        <v>133.85289957570001</v>
      </c>
      <c r="I28" s="155">
        <f>IF($B28=" ","",IFERROR(INDEX(MMWR_RATING_RO_ROLLUP[],MATCH($B28,MMWR_RATING_RO_ROLLUP[MMWR_RATING_RO_ROLLUP],0),MATCH(I$9,MMWR_RATING_RO_ROLLUP[#Headers],0)),"ERROR"))</f>
        <v>132.851384083</v>
      </c>
      <c r="J28" s="157">
        <f>IF($B28=" ","",IFERROR(VLOOKUP($B28,MMWR_ACCURACY_RO[],MATCH(J$9,MMWR_ACCURACY_RO[#Headers],0),0),"ERROR"))</f>
        <v>0.94995038186049097</v>
      </c>
      <c r="K28" s="157">
        <f>IF($B28=" ","",IFERROR(VLOOKUP($B28,MMWR_ACCURACY_RO[],MATCH(K$9,MMWR_ACCURACY_RO[#Headers],0),0),"ERROR"))</f>
        <v>0.81953368490708001</v>
      </c>
      <c r="L28" s="157">
        <f>IF($B28=" ","",IFERROR(VLOOKUP($B28,MMWR_ACCURACY_RO[],MATCH(L$9,MMWR_ACCURACY_RO[#Headers],0),0),"ERROR"))</f>
        <v>0.89004359705665703</v>
      </c>
      <c r="M28" s="157">
        <f>IF($B28=" ","",IFERROR(VLOOKUP($B28,MMWR_ACCURACY_RO[],MATCH(M$9,MMWR_ACCURACY_RO[#Headers],0),0),"ERROR"))</f>
        <v>4.6643099069139E-2</v>
      </c>
      <c r="N28" s="157">
        <f>IF($B28=" ","",IFERROR(VLOOKUP($B28,MMWR_ACCURACY_RO[],MATCH(N$9,MMWR_ACCURACY_RO[#Headers],0),0),"ERROR"))</f>
        <v>0.89970755114911505</v>
      </c>
      <c r="O28" s="157">
        <f>IF($B28=" ","",IFERROR(VLOOKUP($B28,MMWR_ACCURACY_RO[],MATCH(O$9,MMWR_ACCURACY_RO[#Headers],0),0),"ERROR"))</f>
        <v>4.5651227068979901E-2</v>
      </c>
      <c r="P28" s="28"/>
    </row>
    <row r="29" spans="1:16" x14ac:dyDescent="0.2">
      <c r="A29" s="25"/>
      <c r="B29" s="8" t="str">
        <f>VLOOKUP($B$16,DISTRICT_RO[],14,0)</f>
        <v>Togus VSC</v>
      </c>
      <c r="C29" s="154">
        <f>IF($B29=" ","",IFERROR(INDEX(MMWR_RATING_RO_ROLLUP[],MATCH($B29,MMWR_RATING_RO_ROLLUP[MMWR_RATING_RO_ROLLUP],0),MATCH(C$9,MMWR_RATING_RO_ROLLUP[#Headers],0)),"ERROR"))</f>
        <v>1926</v>
      </c>
      <c r="D29" s="155">
        <f>IF($B29=" ","",IFERROR(INDEX(MMWR_RATING_RO_ROLLUP[],MATCH($B29,MMWR_RATING_RO_ROLLUP[MMWR_RATING_RO_ROLLUP],0),MATCH(D$9,MMWR_RATING_RO_ROLLUP[#Headers],0)),"ERROR"))</f>
        <v>77.2689511942</v>
      </c>
      <c r="E29" s="156">
        <f>IF($B29=" ","",IFERROR(INDEX(MMWR_RATING_RO_ROLLUP[],MATCH($B29,MMWR_RATING_RO_ROLLUP[MMWR_RATING_RO_ROLLUP],0),MATCH(E$9,MMWR_RATING_RO_ROLLUP[#Headers],0))/$C29,"ERROR"))</f>
        <v>0.10643821391484942</v>
      </c>
      <c r="F29" s="154">
        <f>IF($B29=" ","",IFERROR(INDEX(MMWR_RATING_RO_ROLLUP[],MATCH($B29,MMWR_RATING_RO_ROLLUP[MMWR_RATING_RO_ROLLUP],0),MATCH(F$9,MMWR_RATING_RO_ROLLUP[#Headers],0)),"ERROR"))</f>
        <v>1387</v>
      </c>
      <c r="G29" s="154">
        <f>IF($B29=" ","",IFERROR(INDEX(MMWR_RATING_RO_ROLLUP[],MATCH($B29,MMWR_RATING_RO_ROLLUP[MMWR_RATING_RO_ROLLUP],0),MATCH(G$9,MMWR_RATING_RO_ROLLUP[#Headers],0)),"ERROR"))</f>
        <v>14387</v>
      </c>
      <c r="H29" s="155">
        <f>IF($B29=" ","",IFERROR(INDEX(MMWR_RATING_RO_ROLLUP[],MATCH($B29,MMWR_RATING_RO_ROLLUP[MMWR_RATING_RO_ROLLUP],0),MATCH(H$9,MMWR_RATING_RO_ROLLUP[#Headers],0)),"ERROR"))</f>
        <v>91.410237923599993</v>
      </c>
      <c r="I29" s="155">
        <f>IF($B29=" ","",IFERROR(INDEX(MMWR_RATING_RO_ROLLUP[],MATCH($B29,MMWR_RATING_RO_ROLLUP[MMWR_RATING_RO_ROLLUP],0),MATCH(I$9,MMWR_RATING_RO_ROLLUP[#Headers],0)),"ERROR"))</f>
        <v>124.96594147490001</v>
      </c>
      <c r="J29" s="157">
        <f>IF($B29=" ","",IFERROR(VLOOKUP($B29,MMWR_ACCURACY_RO[],MATCH(J$9,MMWR_ACCURACY_RO[#Headers],0),0),"ERROR"))</f>
        <v>0.95099421506928705</v>
      </c>
      <c r="K29" s="157">
        <f>IF($B29=" ","",IFERROR(VLOOKUP($B29,MMWR_ACCURACY_RO[],MATCH(K$9,MMWR_ACCURACY_RO[#Headers],0),0),"ERROR"))</f>
        <v>0.86820493236588803</v>
      </c>
      <c r="L29" s="157">
        <f>IF($B29=" ","",IFERROR(VLOOKUP($B29,MMWR_ACCURACY_RO[],MATCH(L$9,MMWR_ACCURACY_RO[#Headers],0),0),"ERROR"))</f>
        <v>0.882147152333979</v>
      </c>
      <c r="M29" s="157">
        <f>IF($B29=" ","",IFERROR(VLOOKUP($B29,MMWR_ACCURACY_RO[],MATCH(M$9,MMWR_ACCURACY_RO[#Headers],0),0),"ERROR"))</f>
        <v>5.0737305494407997E-2</v>
      </c>
      <c r="N29" s="157">
        <f>IF($B29=" ","",IFERROR(VLOOKUP($B29,MMWR_ACCURACY_RO[],MATCH(N$9,MMWR_ACCURACY_RO[#Headers],0),0),"ERROR"))</f>
        <v>0.94162719388572302</v>
      </c>
      <c r="O29" s="157">
        <f>IF($B29=" ","",IFERROR(VLOOKUP($B29,MMWR_ACCURACY_RO[],MATCH(O$9,MMWR_ACCURACY_RO[#Headers],0),0),"ERROR"))</f>
        <v>3.6865638105428603E-2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349</v>
      </c>
      <c r="D30" s="155">
        <f>IF($B30=" ","",IFERROR(INDEX(MMWR_RATING_RO_ROLLUP[],MATCH($B30,MMWR_RATING_RO_ROLLUP[MMWR_RATING_RO_ROLLUP],0),MATCH(D$9,MMWR_RATING_RO_ROLLUP[#Headers],0)),"ERROR"))</f>
        <v>100.9828080229</v>
      </c>
      <c r="E30" s="156">
        <f>IF($B30=" ","",IFERROR(INDEX(MMWR_RATING_RO_ROLLUP[],MATCH($B30,MMWR_RATING_RO_ROLLUP[MMWR_RATING_RO_ROLLUP],0),MATCH(E$9,MMWR_RATING_RO_ROLLUP[#Headers],0))/$C30,"ERROR"))</f>
        <v>0.30659025787965616</v>
      </c>
      <c r="F30" s="154">
        <f>IF($B30=" ","",IFERROR(INDEX(MMWR_RATING_RO_ROLLUP[],MATCH($B30,MMWR_RATING_RO_ROLLUP[MMWR_RATING_RO_ROLLUP],0),MATCH(F$9,MMWR_RATING_RO_ROLLUP[#Headers],0)),"ERROR"))</f>
        <v>194</v>
      </c>
      <c r="G30" s="154">
        <f>IF($B30=" ","",IFERROR(INDEX(MMWR_RATING_RO_ROLLUP[],MATCH($B30,MMWR_RATING_RO_ROLLUP[MMWR_RATING_RO_ROLLUP],0),MATCH(G$9,MMWR_RATING_RO_ROLLUP[#Headers],0)),"ERROR"))</f>
        <v>1859</v>
      </c>
      <c r="H30" s="155">
        <f>IF($B30=" ","",IFERROR(INDEX(MMWR_RATING_RO_ROLLUP[],MATCH($B30,MMWR_RATING_RO_ROLLUP[MMWR_RATING_RO_ROLLUP],0),MATCH(H$9,MMWR_RATING_RO_ROLLUP[#Headers],0)),"ERROR"))</f>
        <v>163.0979381443</v>
      </c>
      <c r="I30" s="155">
        <f>IF($B30=" ","",IFERROR(INDEX(MMWR_RATING_RO_ROLLUP[],MATCH($B30,MMWR_RATING_RO_ROLLUP[MMWR_RATING_RO_ROLLUP],0),MATCH(I$9,MMWR_RATING_RO_ROLLUP[#Headers],0)),"ERROR"))</f>
        <v>144.37439483590001</v>
      </c>
      <c r="J30" s="157">
        <f>IF($B30=" ","",IFERROR(VLOOKUP($B30,MMWR_ACCURACY_RO[],MATCH(J$9,MMWR_ACCURACY_RO[#Headers],0),0),"ERROR"))</f>
        <v>0.92819112720934704</v>
      </c>
      <c r="K30" s="157">
        <f>IF($B30=" ","",IFERROR(VLOOKUP($B30,MMWR_ACCURACY_RO[],MATCH(K$9,MMWR_ACCURACY_RO[#Headers],0),0),"ERROR"))</f>
        <v>0.85756607609642799</v>
      </c>
      <c r="L30" s="157">
        <f>IF($B30=" ","",IFERROR(VLOOKUP($B30,MMWR_ACCURACY_RO[],MATCH(L$9,MMWR_ACCURACY_RO[#Headers],0),0),"ERROR"))</f>
        <v>0.86165169908625405</v>
      </c>
      <c r="M30" s="157">
        <f>IF($B30=" ","",IFERROR(VLOOKUP($B30,MMWR_ACCURACY_RO[],MATCH(M$9,MMWR_ACCURACY_RO[#Headers],0),0),"ERROR"))</f>
        <v>4.51309145133931E-2</v>
      </c>
      <c r="N30" s="157">
        <f>IF($B30=" ","",IFERROR(VLOOKUP($B30,MMWR_ACCURACY_RO[],MATCH(N$9,MMWR_ACCURACY_RO[#Headers],0),0),"ERROR"))</f>
        <v>0.89202927531595</v>
      </c>
      <c r="O30" s="157">
        <f>IF($B30=" ","",IFERROR(VLOOKUP($B30,MMWR_ACCURACY_RO[],MATCH(O$9,MMWR_ACCURACY_RO[#Headers],0),0),"ERROR"))</f>
        <v>4.4870385383623999E-2</v>
      </c>
      <c r="P30" s="28"/>
    </row>
    <row r="31" spans="1:16" x14ac:dyDescent="0.2">
      <c r="A31" s="25"/>
      <c r="B31" s="8" t="str">
        <f>VLOOKUP($B$16,DISTRICT_RO[],16,0)</f>
        <v>Wilmington VSC</v>
      </c>
      <c r="C31" s="154">
        <f>IF($B31=" ","",IFERROR(INDEX(MMWR_RATING_RO_ROLLUP[],MATCH($B31,MMWR_RATING_RO_ROLLUP[MMWR_RATING_RO_ROLLUP],0),MATCH(C$9,MMWR_RATING_RO_ROLLUP[#Headers],0)),"ERROR"))</f>
        <v>207</v>
      </c>
      <c r="D31" s="155">
        <f>IF($B31=" ","",IFERROR(INDEX(MMWR_RATING_RO_ROLLUP[],MATCH($B31,MMWR_RATING_RO_ROLLUP[MMWR_RATING_RO_ROLLUP],0),MATCH(D$9,MMWR_RATING_RO_ROLLUP[#Headers],0)),"ERROR"))</f>
        <v>142.07246376809999</v>
      </c>
      <c r="E31" s="156">
        <f>IF($B31=" ","",IFERROR(INDEX(MMWR_RATING_RO_ROLLUP[],MATCH($B31,MMWR_RATING_RO_ROLLUP[MMWR_RATING_RO_ROLLUP],0),MATCH(E$9,MMWR_RATING_RO_ROLLUP[#Headers],0))/$C31,"ERROR"))</f>
        <v>0.53140096618357491</v>
      </c>
      <c r="F31" s="154">
        <f>IF($B31=" ","",IFERROR(INDEX(MMWR_RATING_RO_ROLLUP[],MATCH($B31,MMWR_RATING_RO_ROLLUP[MMWR_RATING_RO_ROLLUP],0),MATCH(F$9,MMWR_RATING_RO_ROLLUP[#Headers],0)),"ERROR"))</f>
        <v>125</v>
      </c>
      <c r="G31" s="154">
        <f>IF($B31=" ","",IFERROR(INDEX(MMWR_RATING_RO_ROLLUP[],MATCH($B31,MMWR_RATING_RO_ROLLUP[MMWR_RATING_RO_ROLLUP],0),MATCH(G$9,MMWR_RATING_RO_ROLLUP[#Headers],0)),"ERROR"))</f>
        <v>1225</v>
      </c>
      <c r="H31" s="155">
        <f>IF($B31=" ","",IFERROR(INDEX(MMWR_RATING_RO_ROLLUP[],MATCH($B31,MMWR_RATING_RO_ROLLUP[MMWR_RATING_RO_ROLLUP],0),MATCH(H$9,MMWR_RATING_RO_ROLLUP[#Headers],0)),"ERROR"))</f>
        <v>208.08</v>
      </c>
      <c r="I31" s="155">
        <f>IF($B31=" ","",IFERROR(INDEX(MMWR_RATING_RO_ROLLUP[],MATCH($B31,MMWR_RATING_RO_ROLLUP[MMWR_RATING_RO_ROLLUP],0),MATCH(I$9,MMWR_RATING_RO_ROLLUP[#Headers],0)),"ERROR"))</f>
        <v>134.7942857143</v>
      </c>
      <c r="J31" s="157">
        <f>IF($B31=" ","",IFERROR(VLOOKUP($B31,MMWR_ACCURACY_RO[],MATCH(J$9,MMWR_ACCURACY_RO[#Headers],0),0),"ERROR"))</f>
        <v>0.93471966306922905</v>
      </c>
      <c r="K31" s="157">
        <f>IF($B31=" ","",IFERROR(VLOOKUP($B31,MMWR_ACCURACY_RO[],MATCH(K$9,MMWR_ACCURACY_RO[#Headers],0),0),"ERROR"))</f>
        <v>0.88203017832647501</v>
      </c>
      <c r="L31" s="157">
        <f>IF($B31=" ","",IFERROR(VLOOKUP($B31,MMWR_ACCURACY_RO[],MATCH(L$9,MMWR_ACCURACY_RO[#Headers],0),0),"ERROR"))</f>
        <v>0.85926204227565595</v>
      </c>
      <c r="M31" s="157">
        <f>IF($B31=" ","",IFERROR(VLOOKUP($B31,MMWR_ACCURACY_RO[],MATCH(M$9,MMWR_ACCURACY_RO[#Headers],0),0),"ERROR"))</f>
        <v>4.8008498261212298E-2</v>
      </c>
      <c r="N31" s="157">
        <f>IF($B31=" ","",IFERROR(VLOOKUP($B31,MMWR_ACCURACY_RO[],MATCH(N$9,MMWR_ACCURACY_RO[#Headers],0),0),"ERROR"))</f>
        <v>0.918353174603175</v>
      </c>
      <c r="O31" s="157">
        <f>IF($B31=" ","",IFERROR(VLOOKUP($B31,MMWR_ACCURACY_RO[],MATCH(O$9,MMWR_ACCURACY_RO[#Headers],0),0),"ERROR"))</f>
        <v>5.0309632027787897E-2</v>
      </c>
      <c r="P31" s="28"/>
    </row>
    <row r="32" spans="1:16" x14ac:dyDescent="0.2">
      <c r="A32" s="25"/>
      <c r="B32" s="8" t="str">
        <f>VLOOKUP($B$16,DISTRICT_RO[],17,0)</f>
        <v>Winston-Salem VSC</v>
      </c>
      <c r="C32" s="154">
        <f>IF($B32=" ","",IFERROR(INDEX(MMWR_RATING_RO_ROLLUP[],MATCH($B32,MMWR_RATING_RO_ROLLUP[MMWR_RATING_RO_ROLLUP],0),MATCH(C$9,MMWR_RATING_RO_ROLLUP[#Headers],0)),"ERROR"))</f>
        <v>4592</v>
      </c>
      <c r="D32" s="155">
        <f>IF($B32=" ","",IFERROR(INDEX(MMWR_RATING_RO_ROLLUP[],MATCH($B32,MMWR_RATING_RO_ROLLUP[MMWR_RATING_RO_ROLLUP],0),MATCH(D$9,MMWR_RATING_RO_ROLLUP[#Headers],0)),"ERROR"))</f>
        <v>107.29486062719999</v>
      </c>
      <c r="E32" s="156">
        <f>IF($B32=" ","",IFERROR(INDEX(MMWR_RATING_RO_ROLLUP[],MATCH($B32,MMWR_RATING_RO_ROLLUP[MMWR_RATING_RO_ROLLUP],0),MATCH(E$9,MMWR_RATING_RO_ROLLUP[#Headers],0))/$C32,"ERROR"))</f>
        <v>0.28157665505226481</v>
      </c>
      <c r="F32" s="154">
        <f>IF($B32=" ","",IFERROR(INDEX(MMWR_RATING_RO_ROLLUP[],MATCH($B32,MMWR_RATING_RO_ROLLUP[MMWR_RATING_RO_ROLLUP],0),MATCH(F$9,MMWR_RATING_RO_ROLLUP[#Headers],0)),"ERROR"))</f>
        <v>2552</v>
      </c>
      <c r="G32" s="154">
        <f>IF($B32=" ","",IFERROR(INDEX(MMWR_RATING_RO_ROLLUP[],MATCH($B32,MMWR_RATING_RO_ROLLUP[MMWR_RATING_RO_ROLLUP],0),MATCH(G$9,MMWR_RATING_RO_ROLLUP[#Headers],0)),"ERROR"))</f>
        <v>26626</v>
      </c>
      <c r="H32" s="155">
        <f>IF($B32=" ","",IFERROR(INDEX(MMWR_RATING_RO_ROLLUP[],MATCH($B32,MMWR_RATING_RO_ROLLUP[MMWR_RATING_RO_ROLLUP],0),MATCH(H$9,MMWR_RATING_RO_ROLLUP[#Headers],0)),"ERROR"))</f>
        <v>151.64341692790001</v>
      </c>
      <c r="I32" s="155">
        <f>IF($B32=" ","",IFERROR(INDEX(MMWR_RATING_RO_ROLLUP[],MATCH($B32,MMWR_RATING_RO_ROLLUP[MMWR_RATING_RO_ROLLUP],0),MATCH(I$9,MMWR_RATING_RO_ROLLUP[#Headers],0)),"ERROR"))</f>
        <v>141.74108014719999</v>
      </c>
      <c r="J32" s="157">
        <f>IF($B32=" ","",IFERROR(VLOOKUP($B32,MMWR_ACCURACY_RO[],MATCH(J$9,MMWR_ACCURACY_RO[#Headers],0),0),"ERROR"))</f>
        <v>0.97516311507695497</v>
      </c>
      <c r="K32" s="157">
        <f>IF($B32=" ","",IFERROR(VLOOKUP($B32,MMWR_ACCURACY_RO[],MATCH(K$9,MMWR_ACCURACY_RO[#Headers],0),0),"ERROR"))</f>
        <v>0.89462189025807903</v>
      </c>
      <c r="L32" s="157">
        <f>IF($B32=" ","",IFERROR(VLOOKUP($B32,MMWR_ACCURACY_RO[],MATCH(L$9,MMWR_ACCURACY_RO[#Headers],0),0),"ERROR"))</f>
        <v>0.86190657684410998</v>
      </c>
      <c r="M32" s="157">
        <f>IF($B32=" ","",IFERROR(VLOOKUP($B32,MMWR_ACCURACY_RO[],MATCH(M$9,MMWR_ACCURACY_RO[#Headers],0),0),"ERROR"))</f>
        <v>4.8293107088046502E-2</v>
      </c>
      <c r="N32" s="157">
        <f>IF($B32=" ","",IFERROR(VLOOKUP($B32,MMWR_ACCURACY_RO[],MATCH(N$9,MMWR_ACCURACY_RO[#Headers],0),0),"ERROR"))</f>
        <v>0.92634233480790296</v>
      </c>
      <c r="O32" s="157">
        <f>IF($B32=" ","",IFERROR(VLOOKUP($B32,MMWR_ACCURACY_RO[],MATCH(O$9,MMWR_ACCURACY_RO[#Headers],0),0),"ERROR"))</f>
        <v>4.5502998631029898E-2</v>
      </c>
      <c r="P32" s="28"/>
    </row>
    <row r="33" spans="1:16" x14ac:dyDescent="0.2">
      <c r="A33" s="25"/>
      <c r="B33" s="342" t="s">
        <v>732</v>
      </c>
      <c r="C33" s="343"/>
      <c r="D33" s="343"/>
      <c r="E33" s="343"/>
      <c r="F33" s="343"/>
      <c r="G33" s="343"/>
      <c r="H33" s="343"/>
      <c r="I33" s="343"/>
      <c r="J33" s="343"/>
      <c r="K33" s="343"/>
      <c r="L33" s="343"/>
      <c r="M33" s="343"/>
      <c r="N33" s="343"/>
      <c r="O33" s="343"/>
      <c r="P33" s="28"/>
    </row>
    <row r="34" spans="1:16" x14ac:dyDescent="0.2">
      <c r="A34" s="25"/>
      <c r="B34" s="11" t="s">
        <v>695</v>
      </c>
      <c r="C34" s="154">
        <f>IF($B34=" ","",IFERROR(INDEX(MMWR_RATING_RO_ROLLUP[],MATCH($B34,MMWR_RATING_RO_ROLLUP[MMWR_RATING_RO_ROLLUP],0),MATCH(C$9,MMWR_RATING_RO_ROLLUP[#Headers],0)),"ERROR"))</f>
        <v>27151</v>
      </c>
      <c r="D34" s="155">
        <f>IF($B34=" ","",IFERROR(INDEX(MMWR_RATING_RO_ROLLUP[],MATCH($B34,MMWR_RATING_RO_ROLLUP[MMWR_RATING_RO_ROLLUP],0),MATCH(D$9,MMWR_RATING_RO_ROLLUP[#Headers],0)),"ERROR"))</f>
        <v>69.248720120800002</v>
      </c>
      <c r="E34" s="156">
        <f>IF($B34=" ","",IFERROR(INDEX(MMWR_RATING_RO_ROLLUP[],MATCH($B34,MMWR_RATING_RO_ROLLUP[MMWR_RATING_RO_ROLLUP],0),MATCH(E$9,MMWR_RATING_RO_ROLLUP[#Headers],0))/$C34,"ERROR"))</f>
        <v>0.12113734300762403</v>
      </c>
      <c r="F34" s="154">
        <f>IF($B34=" ","",IFERROR(INDEX(MMWR_RATING_RO_ROLLUP[],MATCH($B34,MMWR_RATING_RO_ROLLUP[MMWR_RATING_RO_ROLLUP],0),MATCH(F$9,MMWR_RATING_RO_ROLLUP[#Headers],0)),"ERROR"))</f>
        <v>12875</v>
      </c>
      <c r="G34" s="154">
        <f>IF($B34=" ","",IFERROR(INDEX(MMWR_RATING_RO_ROLLUP[],MATCH($B34,MMWR_RATING_RO_ROLLUP[MMWR_RATING_RO_ROLLUP],0),MATCH(G$9,MMWR_RATING_RO_ROLLUP[#Headers],0)),"ERROR"))</f>
        <v>122274</v>
      </c>
      <c r="H34" s="155">
        <f>IF($B34=" ","",IFERROR(INDEX(MMWR_RATING_RO_ROLLUP[],MATCH($B34,MMWR_RATING_RO_ROLLUP[MMWR_RATING_RO_ROLLUP],0),MATCH(H$9,MMWR_RATING_RO_ROLLUP[#Headers],0)),"ERROR"))</f>
        <v>85.970873786400006</v>
      </c>
      <c r="I34" s="155">
        <f>IF($B34=" ","",IFERROR(INDEX(MMWR_RATING_RO_ROLLUP[],MATCH($B34,MMWR_RATING_RO_ROLLUP[MMWR_RATING_RO_ROLLUP],0),MATCH(I$9,MMWR_RATING_RO_ROLLUP[#Headers],0)),"ERROR"))</f>
        <v>79.107406316999999</v>
      </c>
      <c r="J34" s="42"/>
      <c r="K34" s="262">
        <f>IF($B34=" ","",IFERROR(VLOOKUP($B34,MMWR_ACCURACY_RO[],MATCH(K$50,MMWR_ACCURACY_RO[#Headers],0),0),"ERROR"))</f>
        <v>0.98909889862257405</v>
      </c>
      <c r="L34" s="262">
        <f>IF($B34=" ","",IFERROR(VLOOKUP($B34,MMWR_ACCURACY_RO[],MATCH(L$50,MMWR_ACCURACY_RO[#Headers],0),0),"ERROR"))</f>
        <v>0.962461420830656</v>
      </c>
      <c r="M34" s="262">
        <f>IF($B34=" ","",IFERROR(VLOOKUP($B34,MMWR_ACCURACY_RO[],MATCH(M$50,MMWR_ACCURACY_RO[#Headers],0),0),"ERROR"))</f>
        <v>1.89323408092755E-2</v>
      </c>
      <c r="N34" s="262">
        <f>IF($B34=" ","",IFERROR(VLOOKUP($B34,MMWR_ACCURACY_RO[],MATCH(N$50,MMWR_ACCURACY_RO[#Headers],0),0),"ERROR"))</f>
        <v>0.96839693342882505</v>
      </c>
      <c r="O34" s="262">
        <f>IF($B34=" ","",IFERROR(VLOOKUP($B34,MMWR_ACCURACY_RO[],MATCH(O$50,MMWR_ACCURACY_RO[#Headers],0),0),"ERROR"))</f>
        <v>1.7865746849166E-2</v>
      </c>
      <c r="P34" s="28"/>
    </row>
    <row r="35" spans="1:16" x14ac:dyDescent="0.2">
      <c r="A35" s="25"/>
      <c r="B35" s="12" t="s">
        <v>210</v>
      </c>
      <c r="C35" s="154">
        <f>IF($B35=" ","",IFERROR(INDEX(MMWR_RATING_RO_ROLLUP[],MATCH($B35,MMWR_RATING_RO_ROLLUP[MMWR_RATING_RO_ROLLUP],0),MATCH(C$9,MMWR_RATING_RO_ROLLUP[#Headers],0)),"ERROR"))</f>
        <v>12237</v>
      </c>
      <c r="D35" s="155">
        <f>IF($B35=" ","",IFERROR(INDEX(MMWR_RATING_RO_ROLLUP[],MATCH($B35,MMWR_RATING_RO_ROLLUP[MMWR_RATING_RO_ROLLUP],0),MATCH(D$9,MMWR_RATING_RO_ROLLUP[#Headers],0)),"ERROR"))</f>
        <v>67.328103293300003</v>
      </c>
      <c r="E35" s="156">
        <f>IF($B35=" ","",IFERROR(INDEX(MMWR_RATING_RO_ROLLUP[],MATCH($B35,MMWR_RATING_RO_ROLLUP[MMWR_RATING_RO_ROLLUP],0),MATCH(E$9,MMWR_RATING_RO_ROLLUP[#Headers],0))/$C35,"ERROR"))</f>
        <v>0.12968864917872028</v>
      </c>
      <c r="F35" s="154">
        <f>IF($B35=" ","",IFERROR(INDEX(MMWR_RATING_RO_ROLLUP[],MATCH($B35,MMWR_RATING_RO_ROLLUP[MMWR_RATING_RO_ROLLUP],0),MATCH(F$9,MMWR_RATING_RO_ROLLUP[#Headers],0)),"ERROR"))</f>
        <v>5046</v>
      </c>
      <c r="G35" s="154">
        <f>IF($B35=" ","",IFERROR(INDEX(MMWR_RATING_RO_ROLLUP[],MATCH($B35,MMWR_RATING_RO_ROLLUP[MMWR_RATING_RO_ROLLUP],0),MATCH(G$9,MMWR_RATING_RO_ROLLUP[#Headers],0)),"ERROR"))</f>
        <v>40577</v>
      </c>
      <c r="H35" s="155">
        <f>IF($B35=" ","",IFERROR(INDEX(MMWR_RATING_RO_ROLLUP[],MATCH($B35,MMWR_RATING_RO_ROLLUP[MMWR_RATING_RO_ROLLUP],0),MATCH(H$9,MMWR_RATING_RO_ROLLUP[#Headers],0)),"ERROR"))</f>
        <v>105.0065398335</v>
      </c>
      <c r="I35" s="155">
        <f>IF($B35=" ","",IFERROR(INDEX(MMWR_RATING_RO_ROLLUP[],MATCH($B35,MMWR_RATING_RO_ROLLUP[MMWR_RATING_RO_ROLLUP],0),MATCH(I$9,MMWR_RATING_RO_ROLLUP[#Headers],0)),"ERROR"))</f>
        <v>99.747369199299996</v>
      </c>
      <c r="J35" s="42"/>
      <c r="K35" s="251">
        <f>IF($B35=" ","",IFERROR(VLOOKUP($B35,MMWR_ACCURACY_RO[],MATCH(K$50,MMWR_ACCURACY_RO[#Headers],0),0),"ERROR"))</f>
        <v>1</v>
      </c>
      <c r="L35" s="251">
        <f>IF($B35=" ","",IFERROR(VLOOKUP($B35,MMWR_ACCURACY_RO[],MATCH(L$50,MMWR_ACCURACY_RO[#Headers],0),0),"ERROR"))</f>
        <v>0.94104774258337198</v>
      </c>
      <c r="M35" s="251">
        <f>IF($B35=" ","",IFERROR(VLOOKUP($B35,MMWR_ACCURACY_RO[],MATCH(M$50,MMWR_ACCURACY_RO[#Headers],0),0),"ERROR"))</f>
        <v>4.0168640763625002E-2</v>
      </c>
      <c r="N35" s="251">
        <f>IF($B35=" ","",IFERROR(VLOOKUP($B35,MMWR_ACCURACY_RO[],MATCH(N$50,MMWR_ACCURACY_RO[#Headers],0),0),"ERROR"))</f>
        <v>0.94488559649514903</v>
      </c>
      <c r="O35" s="251">
        <f>IF($B35=" ","",IFERROR(VLOOKUP($B35,MMWR_ACCURACY_RO[],MATCH(O$50,MMWR_ACCURACY_RO[#Headers],0),0),"ERROR"))</f>
        <v>3.8677062646118102E-2</v>
      </c>
      <c r="P35" s="28"/>
    </row>
    <row r="36" spans="1:16" x14ac:dyDescent="0.2">
      <c r="A36" s="43"/>
      <c r="B36" s="12" t="s">
        <v>209</v>
      </c>
      <c r="C36" s="154">
        <f>IF($B36=" ","",IFERROR(INDEX(MMWR_RATING_RO_ROLLUP[],MATCH($B36,MMWR_RATING_RO_ROLLUP[MMWR_RATING_RO_ROLLUP],0),MATCH(C$9,MMWR_RATING_RO_ROLLUP[#Headers],0)),"ERROR"))</f>
        <v>5957</v>
      </c>
      <c r="D36" s="155">
        <f>IF($B36=" ","",IFERROR(INDEX(MMWR_RATING_RO_ROLLUP[],MATCH($B36,MMWR_RATING_RO_ROLLUP[MMWR_RATING_RO_ROLLUP],0),MATCH(D$9,MMWR_RATING_RO_ROLLUP[#Headers],0)),"ERROR"))</f>
        <v>67.239046499899999</v>
      </c>
      <c r="E36" s="156">
        <f>IF($B36=" ","",IFERROR(INDEX(MMWR_RATING_RO_ROLLUP[],MATCH($B36,MMWR_RATING_RO_ROLLUP[MMWR_RATING_RO_ROLLUP],0),MATCH(E$9,MMWR_RATING_RO_ROLLUP[#Headers],0))/$C36,"ERROR"))</f>
        <v>0.1156622460970287</v>
      </c>
      <c r="F36" s="154">
        <f>IF($B36=" ","",IFERROR(INDEX(MMWR_RATING_RO_ROLLUP[],MATCH($B36,MMWR_RATING_RO_ROLLUP[MMWR_RATING_RO_ROLLUP],0),MATCH(F$9,MMWR_RATING_RO_ROLLUP[#Headers],0)),"ERROR"))</f>
        <v>3233</v>
      </c>
      <c r="G36" s="154">
        <f>IF($B36=" ","",IFERROR(INDEX(MMWR_RATING_RO_ROLLUP[],MATCH($B36,MMWR_RATING_RO_ROLLUP[MMWR_RATING_RO_ROLLUP],0),MATCH(G$9,MMWR_RATING_RO_ROLLUP[#Headers],0)),"ERROR"))</f>
        <v>34520</v>
      </c>
      <c r="H36" s="155">
        <f>IF($B36=" ","",IFERROR(INDEX(MMWR_RATING_RO_ROLLUP[],MATCH($B36,MMWR_RATING_RO_ROLLUP[MMWR_RATING_RO_ROLLUP],0),MATCH(H$9,MMWR_RATING_RO_ROLLUP[#Headers],0)),"ERROR"))</f>
        <v>73.221466130500005</v>
      </c>
      <c r="I36" s="155">
        <f>IF($B36=" ","",IFERROR(INDEX(MMWR_RATING_RO_ROLLUP[],MATCH($B36,MMWR_RATING_RO_ROLLUP[MMWR_RATING_RO_ROLLUP],0),MATCH(I$9,MMWR_RATING_RO_ROLLUP[#Headers],0)),"ERROR"))</f>
        <v>71.106228273499994</v>
      </c>
      <c r="J36" s="42"/>
      <c r="K36" s="251">
        <f>IF($B36=" ","",IFERROR(VLOOKUP($B36,MMWR_ACCURACY_RO[],MATCH(K$50,MMWR_ACCURACY_RO[#Headers],0),0),"ERROR"))</f>
        <v>0.96276698095054802</v>
      </c>
      <c r="L36" s="251">
        <f>IF($B36=" ","",IFERROR(VLOOKUP($B36,MMWR_ACCURACY_RO[],MATCH(L$50,MMWR_ACCURACY_RO[#Headers],0),0),"ERROR"))</f>
        <v>0.94959324681566903</v>
      </c>
      <c r="M36" s="251">
        <f>IF($B36=" ","",IFERROR(VLOOKUP($B36,MMWR_ACCURACY_RO[],MATCH(M$50,MMWR_ACCURACY_RO[#Headers],0),0),"ERROR"))</f>
        <v>4.1262651856044497E-2</v>
      </c>
      <c r="N36" s="251">
        <f>IF($B36=" ","",IFERROR(VLOOKUP($B36,MMWR_ACCURACY_RO[],MATCH(N$50,MMWR_ACCURACY_RO[#Headers],0),0),"ERROR"))</f>
        <v>0.98543069541401496</v>
      </c>
      <c r="O36" s="251">
        <f>IF($B36=" ","",IFERROR(VLOOKUP($B36,MMWR_ACCURACY_RO[],MATCH(O$50,MMWR_ACCURACY_RO[#Headers],0),0),"ERROR"))</f>
        <v>1.64370248537857E-2</v>
      </c>
      <c r="P36" s="28"/>
    </row>
    <row r="37" spans="1:16" x14ac:dyDescent="0.2">
      <c r="A37" s="25"/>
      <c r="B37" s="12" t="s">
        <v>212</v>
      </c>
      <c r="C37" s="154">
        <f>IF($B37=" ","",IFERROR(INDEX(MMWR_RATING_RO_ROLLUP[],MATCH($B37,MMWR_RATING_RO_ROLLUP[MMWR_RATING_RO_ROLLUP],0),MATCH(C$9,MMWR_RATING_RO_ROLLUP[#Headers],0)),"ERROR"))</f>
        <v>8139</v>
      </c>
      <c r="D37" s="155">
        <f>IF($B37=" ","",IFERROR(INDEX(MMWR_RATING_RO_ROLLUP[],MATCH($B37,MMWR_RATING_RO_ROLLUP[MMWR_RATING_RO_ROLLUP],0),MATCH(D$9,MMWR_RATING_RO_ROLLUP[#Headers],0)),"ERROR"))</f>
        <v>60.384076667899997</v>
      </c>
      <c r="E37" s="156">
        <f>IF($B37=" ","",IFERROR(INDEX(MMWR_RATING_RO_ROLLUP[],MATCH($B37,MMWR_RATING_RO_ROLLUP[MMWR_RATING_RO_ROLLUP],0),MATCH(E$9,MMWR_RATING_RO_ROLLUP[#Headers],0))/$C37,"ERROR"))</f>
        <v>6.8313060572551917E-2</v>
      </c>
      <c r="F37" s="154">
        <f>IF($B37=" ","",IFERROR(INDEX(MMWR_RATING_RO_ROLLUP[],MATCH($B37,MMWR_RATING_RO_ROLLUP[MMWR_RATING_RO_ROLLUP],0),MATCH(F$9,MMWR_RATING_RO_ROLLUP[#Headers],0)),"ERROR"))</f>
        <v>4240</v>
      </c>
      <c r="G37" s="154">
        <f>IF($B37=" ","",IFERROR(INDEX(MMWR_RATING_RO_ROLLUP[],MATCH($B37,MMWR_RATING_RO_ROLLUP[MMWR_RATING_RO_ROLLUP],0),MATCH(G$9,MMWR_RATING_RO_ROLLUP[#Headers],0)),"ERROR"))</f>
        <v>43523</v>
      </c>
      <c r="H37" s="155">
        <f>IF($B37=" ","",IFERROR(INDEX(MMWR_RATING_RO_ROLLUP[],MATCH($B37,MMWR_RATING_RO_ROLLUP[MMWR_RATING_RO_ROLLUP],0),MATCH(H$9,MMWR_RATING_RO_ROLLUP[#Headers],0)),"ERROR"))</f>
        <v>73.148820754699997</v>
      </c>
      <c r="I37" s="155">
        <f>IF($B37=" ","",IFERROR(INDEX(MMWR_RATING_RO_ROLLUP[],MATCH($B37,MMWR_RATING_RO_ROLLUP[MMWR_RATING_RO_ROLLUP],0),MATCH(I$9,MMWR_RATING_RO_ROLLUP[#Headers],0)),"ERROR"))</f>
        <v>68.543115134499999</v>
      </c>
      <c r="J37" s="42"/>
      <c r="K37" s="251">
        <f>IF($B37=" ","",IFERROR(VLOOKUP($B37,MMWR_ACCURACY_RO[],MATCH(K$50,MMWR_ACCURACY_RO[#Headers],0),0),"ERROR"))</f>
        <v>1</v>
      </c>
      <c r="L37" s="251">
        <f>IF($B37=" ","",IFERROR(VLOOKUP($B37,MMWR_ACCURACY_RO[],MATCH(L$50,MMWR_ACCURACY_RO[#Headers],0),0),"ERROR"))</f>
        <v>0.99143651029663205</v>
      </c>
      <c r="M37" s="251">
        <f>IF($B37=" ","",IFERROR(VLOOKUP($B37,MMWR_ACCURACY_RO[],MATCH(M$50,MMWR_ACCURACY_RO[#Headers],0),0),"ERROR"))</f>
        <v>1.2784329961668801E-2</v>
      </c>
      <c r="N37" s="251">
        <f>IF($B37=" ","",IFERROR(VLOOKUP($B37,MMWR_ACCURACY_RO[],MATCH(N$50,MMWR_ACCURACY_RO[#Headers],0),0),"ERROR"))</f>
        <v>0.98094927418039501</v>
      </c>
      <c r="O37" s="251">
        <f>IF($B37=" ","",IFERROR(VLOOKUP($B37,MMWR_ACCURACY_RO[],MATCH(O$50,MMWR_ACCURACY_RO[#Headers],0),0),"ERROR"))</f>
        <v>2.30989770379884E-2</v>
      </c>
      <c r="P37" s="28"/>
    </row>
    <row r="38" spans="1:16" x14ac:dyDescent="0.2">
      <c r="A38" s="25"/>
      <c r="B38" s="13" t="s">
        <v>224</v>
      </c>
      <c r="C38" s="154">
        <f>IF($B38=" ","",IFERROR(INDEX(MMWR_RATING_RO_ROLLUP[],MATCH($B38,MMWR_RATING_RO_ROLLUP[MMWR_RATING_RO_ROLLUP],0),MATCH(C$9,MMWR_RATING_RO_ROLLUP[#Headers],0)),"ERROR"))</f>
        <v>818</v>
      </c>
      <c r="D38" s="155">
        <f>IF($B38=" ","",IFERROR(INDEX(MMWR_RATING_RO_ROLLUP[],MATCH($B38,MMWR_RATING_RO_ROLLUP[MMWR_RATING_RO_ROLLUP],0),MATCH(D$9,MMWR_RATING_RO_ROLLUP[#Headers],0)),"ERROR"))</f>
        <v>200.8178484108</v>
      </c>
      <c r="E38" s="156">
        <f>IF($B38=" ","",IFERROR(INDEX(MMWR_RATING_RO_ROLLUP[],MATCH($B38,MMWR_RATING_RO_ROLLUP[MMWR_RATING_RO_ROLLUP],0),MATCH(E$9,MMWR_RATING_RO_ROLLUP[#Headers],0))/$C38,"ERROR"))</f>
        <v>0.55867970660146704</v>
      </c>
      <c r="F38" s="154">
        <f>IF($B38=" ","",IFERROR(INDEX(MMWR_RATING_RO_ROLLUP[],MATCH($B38,MMWR_RATING_RO_ROLLUP[MMWR_RATING_RO_ROLLUP],0),MATCH(F$9,MMWR_RATING_RO_ROLLUP[#Headers],0)),"ERROR"))</f>
        <v>356</v>
      </c>
      <c r="G38" s="154">
        <f>IF($B38=" ","",IFERROR(INDEX(MMWR_RATING_RO_ROLLUP[],MATCH($B38,MMWR_RATING_RO_ROLLUP[MMWR_RATING_RO_ROLLUP],0),MATCH(G$9,MMWR_RATING_RO_ROLLUP[#Headers],0)),"ERROR"))</f>
        <v>3654</v>
      </c>
      <c r="H38" s="155">
        <f>IF($B38=" ","",IFERROR(INDEX(MMWR_RATING_RO_ROLLUP[],MATCH($B38,MMWR_RATING_RO_ROLLUP[MMWR_RATING_RO_ROLLUP],0),MATCH(H$9,MMWR_RATING_RO_ROLLUP[#Headers],0)),"ERROR"))</f>
        <v>84.651685393299999</v>
      </c>
      <c r="I38" s="155">
        <f>IF($B38=" ","",IFERROR(INDEX(MMWR_RATING_RO_ROLLUP[],MATCH($B38,MMWR_RATING_RO_ROLLUP[MMWR_RATING_RO_ROLLUP],0),MATCH(I$9,MMWR_RATING_RO_ROLLUP[#Headers],0)),"ERROR"))</f>
        <v>51.324849479999997</v>
      </c>
      <c r="J38" s="42"/>
      <c r="K38" s="42"/>
      <c r="L38" s="42"/>
      <c r="M38" s="42"/>
      <c r="N38" s="42"/>
      <c r="O38" s="42"/>
      <c r="P38" s="28"/>
    </row>
    <row r="39" spans="1:16" x14ac:dyDescent="0.2">
      <c r="A39" s="25"/>
      <c r="B39" s="342" t="s">
        <v>915</v>
      </c>
      <c r="C39" s="343"/>
      <c r="D39" s="343"/>
      <c r="E39" s="343"/>
      <c r="F39" s="343"/>
      <c r="G39" s="343"/>
      <c r="H39" s="343"/>
      <c r="I39" s="343"/>
      <c r="J39" s="343"/>
      <c r="K39" s="343"/>
      <c r="L39" s="343"/>
      <c r="M39" s="343"/>
      <c r="N39" s="343"/>
      <c r="O39" s="343"/>
      <c r="P39" s="28"/>
    </row>
    <row r="40" spans="1:16" x14ac:dyDescent="0.2">
      <c r="A40" s="25"/>
      <c r="B40" s="44" t="s">
        <v>696</v>
      </c>
      <c r="C40" s="154">
        <f>IF($B40=" ","",IFERROR(INDEX(MMWR_RATING_RO_ROLLUP[],MATCH($B40,MMWR_RATING_RO_ROLLUP[MMWR_RATING_RO_ROLLUP],0),MATCH(C$9,MMWR_RATING_RO_ROLLUP[#Headers],0)),"ERROR"))</f>
        <v>7335</v>
      </c>
      <c r="D40" s="155">
        <f>IF($B40=" ","",IFERROR(INDEX(MMWR_RATING_RO_ROLLUP[],MATCH($B40,MMWR_RATING_RO_ROLLUP[MMWR_RATING_RO_ROLLUP],0),MATCH(D$9,MMWR_RATING_RO_ROLLUP[#Headers],0)),"ERROR"))</f>
        <v>70.155555555600003</v>
      </c>
      <c r="E40" s="156">
        <f>IF($B40=" ","",IFERROR(INDEX(MMWR_RATING_RO_ROLLUP[],MATCH($B40,MMWR_RATING_RO_ROLLUP[MMWR_RATING_RO_ROLLUP],0),MATCH(E$9,MMWR_RATING_RO_ROLLUP[#Headers],0))/$C40,"ERROR"))</f>
        <v>0.12256305385139742</v>
      </c>
      <c r="F40" s="154">
        <f>IF($B40=" ","",IFERROR(INDEX(MMWR_RATING_RO_ROLLUP[],MATCH($B40,MMWR_RATING_RO_ROLLUP[MMWR_RATING_RO_ROLLUP],0),MATCH(F$9,MMWR_RATING_RO_ROLLUP[#Headers],0)),"ERROR"))</f>
        <v>2133</v>
      </c>
      <c r="G40" s="154">
        <f>IF($B40=" ","",IFERROR(INDEX(MMWR_RATING_RO_ROLLUP[],MATCH($B40,MMWR_RATING_RO_ROLLUP[MMWR_RATING_RO_ROLLUP],0),MATCH(G$9,MMWR_RATING_RO_ROLLUP[#Headers],0)),"ERROR"))</f>
        <v>21355</v>
      </c>
      <c r="H40" s="155">
        <f>IF($B40=" ","",IFERROR(INDEX(MMWR_RATING_RO_ROLLUP[],MATCH($B40,MMWR_RATING_RO_ROLLUP[MMWR_RATING_RO_ROLLUP],0),MATCH(H$9,MMWR_RATING_RO_ROLLUP[#Headers],0)),"ERROR"))</f>
        <v>116.4571026723</v>
      </c>
      <c r="I40" s="155">
        <f>IF($B40=" ","",IFERROR(INDEX(MMWR_RATING_RO_ROLLUP[],MATCH($B40,MMWR_RATING_RO_ROLLUP[MMWR_RATING_RO_ROLLUP],0),MATCH(I$9,MMWR_RATING_RO_ROLLUP[#Headers],0)),"ERROR"))</f>
        <v>137.91266682279999</v>
      </c>
      <c r="J40" s="42"/>
      <c r="K40" s="42"/>
      <c r="L40" s="42"/>
      <c r="M40" s="42"/>
      <c r="N40" s="42"/>
      <c r="O40" s="42"/>
      <c r="P40" s="28"/>
    </row>
    <row r="41" spans="1:16" x14ac:dyDescent="0.2">
      <c r="A41" s="25"/>
      <c r="B41" s="45" t="s">
        <v>955</v>
      </c>
      <c r="C41" s="154">
        <f>IF($B41=" ","",IFERROR(INDEX(MMWR_RATING_RO_ROLLUP[],MATCH($B41,MMWR_RATING_RO_ROLLUP[MMWR_RATING_RO_ROLLUP],0),MATCH(C$9,MMWR_RATING_RO_ROLLUP[#Headers],0)),"ERROR"))</f>
        <v>851</v>
      </c>
      <c r="D41" s="155">
        <f>IF($B41=" ","",IFERROR(INDEX(MMWR_RATING_RO_ROLLUP[],MATCH($B41,MMWR_RATING_RO_ROLLUP[MMWR_RATING_RO_ROLLUP],0),MATCH(D$9,MMWR_RATING_RO_ROLLUP[#Headers],0)),"ERROR"))</f>
        <v>93.753231492400005</v>
      </c>
      <c r="E41" s="156">
        <f>IF($B41=" ","",IFERROR(INDEX(MMWR_RATING_RO_ROLLUP[],MATCH($B41,MMWR_RATING_RO_ROLLUP[MMWR_RATING_RO_ROLLUP],0),MATCH(E$9,MMWR_RATING_RO_ROLLUP[#Headers],0))/$C41,"ERROR"))</f>
        <v>0.23384253819036427</v>
      </c>
      <c r="F41" s="154">
        <f>IF($B41=" ","",IFERROR(INDEX(MMWR_RATING_RO_ROLLUP[],MATCH($B41,MMWR_RATING_RO_ROLLUP[MMWR_RATING_RO_ROLLUP],0),MATCH(F$9,MMWR_RATING_RO_ROLLUP[#Headers],0)),"ERROR"))</f>
        <v>1148</v>
      </c>
      <c r="G41" s="154">
        <f>IF($B41=" ","",IFERROR(INDEX(MMWR_RATING_RO_ROLLUP[],MATCH($B41,MMWR_RATING_RO_ROLLUP[MMWR_RATING_RO_ROLLUP],0),MATCH(G$9,MMWR_RATING_RO_ROLLUP[#Headers],0)),"ERROR"))</f>
        <v>9599</v>
      </c>
      <c r="H41" s="155">
        <f>IF($B41=" ","",IFERROR(INDEX(MMWR_RATING_RO_ROLLUP[],MATCH($B41,MMWR_RATING_RO_ROLLUP[MMWR_RATING_RO_ROLLUP],0),MATCH(H$9,MMWR_RATING_RO_ROLLUP[#Headers],0)),"ERROR"))</f>
        <v>108.57229965160001</v>
      </c>
      <c r="I41" s="155">
        <f>IF($B41=" ","",IFERROR(INDEX(MMWR_RATING_RO_ROLLUP[],MATCH($B41,MMWR_RATING_RO_ROLLUP[MMWR_RATING_RO_ROLLUP],0),MATCH(I$9,MMWR_RATING_RO_ROLLUP[#Headers],0)),"ERROR"))</f>
        <v>124.82300239609999</v>
      </c>
      <c r="J41" s="42"/>
      <c r="K41" s="42"/>
      <c r="L41" s="42"/>
      <c r="M41" s="42"/>
      <c r="N41" s="42"/>
      <c r="O41" s="42"/>
      <c r="P41" s="28"/>
    </row>
    <row r="42" spans="1:16" x14ac:dyDescent="0.2">
      <c r="A42" s="25"/>
      <c r="B42" s="45" t="s">
        <v>956</v>
      </c>
      <c r="C42" s="154">
        <f>IF($B42=" ","",IFERROR(INDEX(MMWR_RATING_RO_ROLLUP[],MATCH($B42,MMWR_RATING_RO_ROLLUP[MMWR_RATING_RO_ROLLUP],0),MATCH(C$9,MMWR_RATING_RO_ROLLUP[#Headers],0)),"ERROR"))</f>
        <v>370</v>
      </c>
      <c r="D42" s="155">
        <f>IF($B42=" ","",IFERROR(INDEX(MMWR_RATING_RO_ROLLUP[],MATCH($B42,MMWR_RATING_RO_ROLLUP[MMWR_RATING_RO_ROLLUP],0),MATCH(D$9,MMWR_RATING_RO_ROLLUP[#Headers],0)),"ERROR"))</f>
        <v>119.0810810811</v>
      </c>
      <c r="E42" s="156">
        <f>IF($B42=" ","",IFERROR(INDEX(MMWR_RATING_RO_ROLLUP[],MATCH($B42,MMWR_RATING_RO_ROLLUP[MMWR_RATING_RO_ROLLUP],0),MATCH(E$9,MMWR_RATING_RO_ROLLUP[#Headers],0))/$C42,"ERROR"))</f>
        <v>0.31891891891891894</v>
      </c>
      <c r="F42" s="154">
        <f>IF($B42=" ","",IFERROR(INDEX(MMWR_RATING_RO_ROLLUP[],MATCH($B42,MMWR_RATING_RO_ROLLUP[MMWR_RATING_RO_ROLLUP],0),MATCH(F$9,MMWR_RATING_RO_ROLLUP[#Headers],0)),"ERROR"))</f>
        <v>782</v>
      </c>
      <c r="G42" s="154">
        <f>IF($B42=" ","",IFERROR(INDEX(MMWR_RATING_RO_ROLLUP[],MATCH($B42,MMWR_RATING_RO_ROLLUP[MMWR_RATING_RO_ROLLUP],0),MATCH(G$9,MMWR_RATING_RO_ROLLUP[#Headers],0)),"ERROR"))</f>
        <v>7917</v>
      </c>
      <c r="H42" s="155">
        <f>IF($B42=" ","",IFERROR(INDEX(MMWR_RATING_RO_ROLLUP[],MATCH($B42,MMWR_RATING_RO_ROLLUP[MMWR_RATING_RO_ROLLUP],0),MATCH(H$9,MMWR_RATING_RO_ROLLUP[#Headers],0)),"ERROR"))</f>
        <v>125.8132992327</v>
      </c>
      <c r="I42" s="155">
        <f>IF($B42=" ","",IFERROR(INDEX(MMWR_RATING_RO_ROLLUP[],MATCH($B42,MMWR_RATING_RO_ROLLUP[MMWR_RATING_RO_ROLLUP],0),MATCH(I$9,MMWR_RATING_RO_ROLLUP[#Headers],0)),"ERROR"))</f>
        <v>155.9158772262</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6114</v>
      </c>
      <c r="D43" s="155">
        <f>IF($B43=" ","",IFERROR(INDEX(MMWR_RATING_RO_ROLLUP[],MATCH($B43,MMWR_RATING_RO_ROLLUP[MMWR_RATING_RO_ROLLUP],0),MATCH(D$9,MMWR_RATING_RO_ROLLUP[#Headers],0)),"ERROR"))</f>
        <v>63.910206084400002</v>
      </c>
      <c r="E43" s="156">
        <f>IF($B43=" ","",IFERROR(INDEX(MMWR_RATING_RO_ROLLUP[],MATCH($B43,MMWR_RATING_RO_ROLLUP[MMWR_RATING_RO_ROLLUP],0),MATCH(E$9,MMWR_RATING_RO_ROLLUP[#Headers],0))/$C43,"ERROR"))</f>
        <v>9.5191364082433755E-2</v>
      </c>
      <c r="F43" s="154">
        <f>IF($B43=" ","",IFERROR(INDEX(MMWR_RATING_RO_ROLLUP[],MATCH($B43,MMWR_RATING_RO_ROLLUP[MMWR_RATING_RO_ROLLUP],0),MATCH(F$9,MMWR_RATING_RO_ROLLUP[#Headers],0)),"ERROR"))</f>
        <v>203</v>
      </c>
      <c r="G43" s="154">
        <f>IF($B43=" ","",IFERROR(INDEX(MMWR_RATING_RO_ROLLUP[],MATCH($B43,MMWR_RATING_RO_ROLLUP[MMWR_RATING_RO_ROLLUP],0),MATCH(G$9,MMWR_RATING_RO_ROLLUP[#Headers],0)),"ERROR"))</f>
        <v>3839</v>
      </c>
      <c r="H43" s="155">
        <f>IF($B43=" ","",IFERROR(INDEX(MMWR_RATING_RO_ROLLUP[],MATCH($B43,MMWR_RATING_RO_ROLLUP[MMWR_RATING_RO_ROLLUP],0),MATCH(H$9,MMWR_RATING_RO_ROLLUP[#Headers],0)),"ERROR"))</f>
        <v>125.0049261084</v>
      </c>
      <c r="I43" s="155">
        <f>IF($B43=" ","",IFERROR(INDEX(MMWR_RATING_RO_ROLLUP[],MATCH($B43,MMWR_RATING_RO_ROLLUP[MMWR_RATING_RO_ROLLUP],0),MATCH(I$9,MMWR_RATING_RO_ROLLUP[#Headers],0)),"ERROR"))</f>
        <v>133.51471737430001</v>
      </c>
      <c r="J43" s="42"/>
      <c r="K43" s="42"/>
      <c r="L43" s="42"/>
      <c r="M43" s="42"/>
      <c r="N43" s="42"/>
      <c r="O43" s="42"/>
      <c r="P43" s="28"/>
    </row>
    <row r="44" spans="1:16" x14ac:dyDescent="0.2">
      <c r="A44" s="25"/>
      <c r="B44" s="342" t="s">
        <v>733</v>
      </c>
      <c r="C44" s="343"/>
      <c r="D44" s="343"/>
      <c r="E44" s="343"/>
      <c r="F44" s="343"/>
      <c r="G44" s="343"/>
      <c r="H44" s="343"/>
      <c r="I44" s="343"/>
      <c r="J44" s="343"/>
      <c r="K44" s="343"/>
      <c r="L44" s="343"/>
      <c r="M44" s="343"/>
      <c r="N44" s="343"/>
      <c r="O44" s="343"/>
      <c r="P44" s="28"/>
    </row>
    <row r="45" spans="1:16" x14ac:dyDescent="0.2">
      <c r="A45" s="25"/>
      <c r="B45" s="44" t="s">
        <v>694</v>
      </c>
      <c r="C45" s="154">
        <f>IF($B45=" ","",IFERROR(INDEX(MMWR_RATING_RO_ROLLUP[],MATCH($B45,MMWR_RATING_RO_ROLLUP[MMWR_RATING_RO_ROLLUP],0),MATCH(C$9,MMWR_RATING_RO_ROLLUP[#Headers],0)),"ERROR"))</f>
        <v>7311</v>
      </c>
      <c r="D45" s="155">
        <f>IF($B45=" ","",IFERROR(INDEX(MMWR_RATING_RO_ROLLUP[],MATCH($B45,MMWR_RATING_RO_ROLLUP[MMWR_RATING_RO_ROLLUP],0),MATCH(D$9,MMWR_RATING_RO_ROLLUP[#Headers],0)),"ERROR"))</f>
        <v>68.699357133099994</v>
      </c>
      <c r="E45" s="156">
        <f>IF($B45=" ","",IFERROR(INDEX(MMWR_RATING_RO_ROLLUP[],MATCH($B45,MMWR_RATING_RO_ROLLUP[MMWR_RATING_RO_ROLLUP],0),MATCH(E$9,MMWR_RATING_RO_ROLLUP[#Headers],0))/$C45,"ERROR"))</f>
        <v>0.11120229790726303</v>
      </c>
      <c r="F45" s="154">
        <f>IF($B45=" ","",IFERROR(INDEX(MMWR_RATING_RO_ROLLUP[],MATCH($B45,MMWR_RATING_RO_ROLLUP[MMWR_RATING_RO_ROLLUP],0),MATCH(F$9,MMWR_RATING_RO_ROLLUP[#Headers],0)),"ERROR"))</f>
        <v>2031</v>
      </c>
      <c r="G45" s="154">
        <f>IF($B45=" ","",IFERROR(INDEX(MMWR_RATING_RO_ROLLUP[],MATCH($B45,MMWR_RATING_RO_ROLLUP[MMWR_RATING_RO_ROLLUP],0),MATCH(G$9,MMWR_RATING_RO_ROLLUP[#Headers],0)),"ERROR"))</f>
        <v>24276</v>
      </c>
      <c r="H45" s="155">
        <f>IF($B45=" ","",IFERROR(INDEX(MMWR_RATING_RO_ROLLUP[],MATCH($B45,MMWR_RATING_RO_ROLLUP[MMWR_RATING_RO_ROLLUP],0),MATCH(H$9,MMWR_RATING_RO_ROLLUP[#Headers],0)),"ERROR"))</f>
        <v>117.06302314129999</v>
      </c>
      <c r="I45" s="155">
        <f>IF($B45=" ","",IFERROR(INDEX(MMWR_RATING_RO_ROLLUP[],MATCH($B45,MMWR_RATING_RO_ROLLUP[MMWR_RATING_RO_ROLLUP],0),MATCH(I$9,MMWR_RATING_RO_ROLLUP[#Headers],0)),"ERROR"))</f>
        <v>131.1221782831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358</v>
      </c>
      <c r="D46" s="155">
        <f>IF($B46=" ","",IFERROR(INDEX(MMWR_RATING_RO_ROLLUP[],MATCH($B46,MMWR_RATING_RO_ROLLUP[MMWR_RATING_RO_ROLLUP],0),MATCH(D$9,MMWR_RATING_RO_ROLLUP[#Headers],0)),"ERROR"))</f>
        <v>110.0977653631</v>
      </c>
      <c r="E46" s="156">
        <f>IF($B46=" ","",IFERROR(INDEX(MMWR_RATING_RO_ROLLUP[],MATCH($B46,MMWR_RATING_RO_ROLLUP[MMWR_RATING_RO_ROLLUP],0),MATCH(E$9,MMWR_RATING_RO_ROLLUP[#Headers],0))/$C46,"ERROR"))</f>
        <v>0.20949720670391062</v>
      </c>
      <c r="F46" s="154">
        <f>IF($B46=" ","",IFERROR(INDEX(MMWR_RATING_RO_ROLLUP[],MATCH($B46,MMWR_RATING_RO_ROLLUP[MMWR_RATING_RO_ROLLUP],0),MATCH(F$9,MMWR_RATING_RO_ROLLUP[#Headers],0)),"ERROR"))</f>
        <v>894</v>
      </c>
      <c r="G46" s="154">
        <f>IF($B46=" ","",IFERROR(INDEX(MMWR_RATING_RO_ROLLUP[],MATCH($B46,MMWR_RATING_RO_ROLLUP[MMWR_RATING_RO_ROLLUP],0),MATCH(G$9,MMWR_RATING_RO_ROLLUP[#Headers],0)),"ERROR"))</f>
        <v>9771</v>
      </c>
      <c r="H46" s="155">
        <f>IF($B46=" ","",IFERROR(INDEX(MMWR_RATING_RO_ROLLUP[],MATCH($B46,MMWR_RATING_RO_ROLLUP[MMWR_RATING_RO_ROLLUP],0),MATCH(H$9,MMWR_RATING_RO_ROLLUP[#Headers],0)),"ERROR"))</f>
        <v>114.48322147650001</v>
      </c>
      <c r="I46" s="155">
        <f>IF($B46=" ","",IFERROR(INDEX(MMWR_RATING_RO_ROLLUP[],MATCH($B46,MMWR_RATING_RO_ROLLUP[MMWR_RATING_RO_ROLLUP],0),MATCH(I$9,MMWR_RATING_RO_ROLLUP[#Headers],0)),"ERROR"))</f>
        <v>118.76286971650001</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1115</v>
      </c>
      <c r="D47" s="155">
        <f>IF($B47=" ","",IFERROR(INDEX(MMWR_RATING_RO_ROLLUP[],MATCH($B47,MMWR_RATING_RO_ROLLUP[MMWR_RATING_RO_ROLLUP],0),MATCH(D$9,MMWR_RATING_RO_ROLLUP[#Headers],0)),"ERROR"))</f>
        <v>74.7121076233</v>
      </c>
      <c r="E47" s="156">
        <f>IF($B47=" ","",IFERROR(INDEX(MMWR_RATING_RO_ROLLUP[],MATCH($B47,MMWR_RATING_RO_ROLLUP[MMWR_RATING_RO_ROLLUP],0),MATCH(E$9,MMWR_RATING_RO_ROLLUP[#Headers],0))/$C47,"ERROR"))</f>
        <v>0.11031390134529148</v>
      </c>
      <c r="F47" s="154">
        <f>IF($B47=" ","",IFERROR(INDEX(MMWR_RATING_RO_ROLLUP[],MATCH($B47,MMWR_RATING_RO_ROLLUP[MMWR_RATING_RO_ROLLUP],0),MATCH(F$9,MMWR_RATING_RO_ROLLUP[#Headers],0)),"ERROR"))</f>
        <v>790</v>
      </c>
      <c r="G47" s="154">
        <f>IF($B47=" ","",IFERROR(INDEX(MMWR_RATING_RO_ROLLUP[],MATCH($B47,MMWR_RATING_RO_ROLLUP[MMWR_RATING_RO_ROLLUP],0),MATCH(G$9,MMWR_RATING_RO_ROLLUP[#Headers],0)),"ERROR"))</f>
        <v>8656</v>
      </c>
      <c r="H47" s="155">
        <f>IF($B47=" ","",IFERROR(INDEX(MMWR_RATING_RO_ROLLUP[],MATCH($B47,MMWR_RATING_RO_ROLLUP[MMWR_RATING_RO_ROLLUP],0),MATCH(H$9,MMWR_RATING_RO_ROLLUP[#Headers],0)),"ERROR"))</f>
        <v>118.7316455696</v>
      </c>
      <c r="I47" s="155">
        <f>IF($B47=" ","",IFERROR(INDEX(MMWR_RATING_RO_ROLLUP[],MATCH($B47,MMWR_RATING_RO_ROLLUP[MMWR_RATING_RO_ROLLUP],0),MATCH(I$9,MMWR_RATING_RO_ROLLUP[#Headers],0)),"ERROR"))</f>
        <v>147.29447781889999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5838</v>
      </c>
      <c r="D48" s="155">
        <f>IF($B48=" ","",IFERROR(INDEX(MMWR_RATING_RO_ROLLUP[],MATCH($B48,MMWR_RATING_RO_ROLLUP[MMWR_RATING_RO_ROLLUP],0),MATCH(D$9,MMWR_RATING_RO_ROLLUP[#Headers],0)),"ERROR"))</f>
        <v>65.012332990800004</v>
      </c>
      <c r="E48" s="156">
        <f>IF($B48=" ","",IFERROR(INDEX(MMWR_RATING_RO_ROLLUP[],MATCH($B48,MMWR_RATING_RO_ROLLUP[MMWR_RATING_RO_ROLLUP],0),MATCH(E$9,MMWR_RATING_RO_ROLLUP[#Headers],0))/$C48,"ERROR"))</f>
        <v>0.10534429599177801</v>
      </c>
      <c r="F48" s="154">
        <f>IF($B48=" ","",IFERROR(INDEX(MMWR_RATING_RO_ROLLUP[],MATCH($B48,MMWR_RATING_RO_ROLLUP[MMWR_RATING_RO_ROLLUP],0),MATCH(F$9,MMWR_RATING_RO_ROLLUP[#Headers],0)),"ERROR"))</f>
        <v>347</v>
      </c>
      <c r="G48" s="154">
        <f>IF($B48=" ","",IFERROR(INDEX(MMWR_RATING_RO_ROLLUP[],MATCH($B48,MMWR_RATING_RO_ROLLUP[MMWR_RATING_RO_ROLLUP],0),MATCH(G$9,MMWR_RATING_RO_ROLLUP[#Headers],0)),"ERROR"))</f>
        <v>5849</v>
      </c>
      <c r="H48" s="155">
        <f>IF($B48=" ","",IFERROR(INDEX(MMWR_RATING_RO_ROLLUP[],MATCH($B48,MMWR_RATING_RO_ROLLUP[MMWR_RATING_RO_ROLLUP],0),MATCH(H$9,MMWR_RATING_RO_ROLLUP[#Headers],0)),"ERROR"))</f>
        <v>119.9106628242</v>
      </c>
      <c r="I48" s="155">
        <f>IF($B48=" ","",IFERROR(INDEX(MMWR_RATING_RO_ROLLUP[],MATCH($B48,MMWR_RATING_RO_ROLLUP[MMWR_RATING_RO_ROLLUP],0),MATCH(I$9,MMWR_RATING_RO_ROLLUP[#Headers],0)),"ERROR"))</f>
        <v>127.8353564712</v>
      </c>
      <c r="J48" s="42"/>
      <c r="K48" s="42"/>
      <c r="L48" s="42"/>
      <c r="M48" s="42"/>
      <c r="N48" s="42"/>
      <c r="O48" s="42"/>
      <c r="P48" s="28"/>
    </row>
    <row r="49" spans="1:16" ht="15.75" x14ac:dyDescent="0.25">
      <c r="A49" s="25"/>
      <c r="B49" s="341" t="s">
        <v>1049</v>
      </c>
      <c r="C49" s="341"/>
      <c r="D49" s="341"/>
      <c r="E49" s="341"/>
      <c r="F49" s="341"/>
      <c r="G49" s="341"/>
      <c r="H49" s="341"/>
      <c r="I49" s="341"/>
      <c r="J49" s="341"/>
      <c r="K49" s="341"/>
      <c r="L49" s="341"/>
      <c r="M49" s="341"/>
      <c r="N49" s="341"/>
      <c r="O49" s="261"/>
      <c r="P49" s="28"/>
    </row>
    <row r="50" spans="1:16" ht="12" customHeight="1" x14ac:dyDescent="0.2">
      <c r="A50" s="25"/>
      <c r="B50" s="26"/>
      <c r="C50" s="26"/>
      <c r="D50" s="26"/>
      <c r="E50" s="26"/>
      <c r="F50" s="26"/>
      <c r="G50" s="26"/>
      <c r="H50" s="26"/>
      <c r="I50" s="26"/>
      <c r="J50" s="26"/>
      <c r="K50" s="27" t="s">
        <v>921</v>
      </c>
      <c r="L50" s="27" t="s">
        <v>926</v>
      </c>
      <c r="M50" s="27" t="s">
        <v>927</v>
      </c>
      <c r="N50" s="27" t="s">
        <v>928</v>
      </c>
      <c r="O50" s="27" t="s">
        <v>929</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294</v>
      </c>
      <c r="D2" s="357"/>
      <c r="E2" s="357"/>
      <c r="F2" s="357"/>
      <c r="G2" s="357"/>
      <c r="H2" s="357"/>
      <c r="I2" s="357"/>
      <c r="J2" s="356" t="s">
        <v>300</v>
      </c>
      <c r="K2" s="357"/>
      <c r="L2" s="357"/>
      <c r="M2" s="358"/>
      <c r="N2" s="28"/>
    </row>
    <row r="3" spans="1:16" ht="24" customHeight="1" thickBot="1" x14ac:dyDescent="0.4">
      <c r="A3" s="25"/>
      <c r="B3" s="29"/>
      <c r="C3" s="359"/>
      <c r="D3" s="360"/>
      <c r="E3" s="360"/>
      <c r="F3" s="360"/>
      <c r="G3" s="360"/>
      <c r="H3" s="360"/>
      <c r="I3" s="360"/>
      <c r="J3" s="359" t="str">
        <f>Transformation!B4</f>
        <v>As of: July 30, 2016</v>
      </c>
      <c r="K3" s="360"/>
      <c r="L3" s="360"/>
      <c r="M3" s="361"/>
      <c r="N3" s="28"/>
    </row>
    <row r="4" spans="1:16" ht="51" customHeight="1" thickBot="1" x14ac:dyDescent="0.35">
      <c r="A4" s="30"/>
      <c r="B4" s="246" t="s">
        <v>454</v>
      </c>
      <c r="C4" s="362" t="s">
        <v>969</v>
      </c>
      <c r="D4" s="363"/>
      <c r="E4" s="363"/>
      <c r="F4" s="363"/>
      <c r="G4" s="363"/>
      <c r="H4" s="363"/>
      <c r="I4" s="363"/>
      <c r="J4" s="363"/>
      <c r="K4" s="363"/>
      <c r="L4" s="363"/>
      <c r="M4" s="364"/>
      <c r="N4" s="28"/>
      <c r="O4" s="22"/>
      <c r="P4" s="23"/>
    </row>
    <row r="5" spans="1:16" ht="27" customHeight="1" thickBot="1" x14ac:dyDescent="0.25">
      <c r="A5" s="30"/>
      <c r="B5" s="48"/>
      <c r="C5" s="365" t="s">
        <v>1040</v>
      </c>
      <c r="D5" s="366"/>
      <c r="E5" s="366"/>
      <c r="F5" s="366"/>
      <c r="G5" s="366"/>
      <c r="H5" s="366"/>
      <c r="I5" s="366"/>
      <c r="J5" s="366"/>
      <c r="K5" s="366"/>
      <c r="L5" s="366"/>
      <c r="M5" s="366"/>
      <c r="N5" s="366"/>
      <c r="O5" s="367"/>
    </row>
    <row r="6" spans="1:16"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6"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6"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6" x14ac:dyDescent="0.2">
      <c r="A9" s="28"/>
      <c r="B9" s="28"/>
      <c r="C9" s="39" t="s">
        <v>698</v>
      </c>
      <c r="D9" s="39" t="s">
        <v>700</v>
      </c>
      <c r="E9" s="39" t="s">
        <v>699</v>
      </c>
      <c r="F9" s="39" t="s">
        <v>702</v>
      </c>
      <c r="G9" s="39" t="s">
        <v>701</v>
      </c>
      <c r="H9" s="39" t="s">
        <v>712</v>
      </c>
      <c r="I9" s="39" t="s">
        <v>711</v>
      </c>
      <c r="J9" s="39"/>
      <c r="K9" s="39"/>
      <c r="L9" s="39"/>
      <c r="M9" s="39"/>
      <c r="N9" s="28"/>
    </row>
    <row r="10" spans="1:16" ht="15.75" customHeight="1" x14ac:dyDescent="0.2">
      <c r="A10" s="25"/>
      <c r="B10" s="26"/>
      <c r="C10" s="350" t="s">
        <v>293</v>
      </c>
      <c r="D10" s="350"/>
      <c r="E10" s="350"/>
      <c r="F10" s="350"/>
      <c r="G10" s="350"/>
      <c r="H10" s="350"/>
      <c r="I10" s="350"/>
      <c r="J10" s="350"/>
      <c r="K10" s="350"/>
      <c r="L10" s="350"/>
      <c r="M10" s="392"/>
      <c r="N10" s="28"/>
    </row>
    <row r="11" spans="1:16" ht="64.5" customHeight="1" x14ac:dyDescent="0.2">
      <c r="A11" s="25"/>
      <c r="B11" s="26"/>
      <c r="C11" s="52" t="s">
        <v>226</v>
      </c>
      <c r="D11" s="52" t="s">
        <v>134</v>
      </c>
      <c r="E11" s="52" t="s">
        <v>227</v>
      </c>
      <c r="F11" s="52" t="s">
        <v>189</v>
      </c>
      <c r="G11" s="52" t="s">
        <v>204</v>
      </c>
      <c r="H11" s="52" t="s">
        <v>206</v>
      </c>
      <c r="I11" s="52" t="s">
        <v>207</v>
      </c>
      <c r="J11" s="394" t="s">
        <v>970</v>
      </c>
      <c r="K11" s="395"/>
      <c r="L11" s="395"/>
      <c r="M11" s="396"/>
      <c r="N11" s="28"/>
    </row>
    <row r="12" spans="1:16" x14ac:dyDescent="0.2">
      <c r="A12" s="25"/>
      <c r="B12" s="41" t="s">
        <v>728</v>
      </c>
      <c r="C12" s="154">
        <f>IF($B12=" ","",IFERROR(INDEX(MMWR_RATING_RO_ROLLUP[],MATCH($B12,MMWR_RATING_RO_ROLLUP[MMWR_RATING_RO_ROLLUP],0),MATCH(C$9,MMWR_RATING_RO_ROLLUP[#Headers],0)),"ERROR"))</f>
        <v>376797</v>
      </c>
      <c r="D12" s="155">
        <f>IF($B12=" ","",IFERROR(INDEX(MMWR_RATING_RO_ROLLUP[],MATCH($B12,MMWR_RATING_RO_ROLLUP[MMWR_RATING_RO_ROLLUP],0),MATCH(D$9,MMWR_RATING_RO_ROLLUP[#Headers],0)),"ERROR"))</f>
        <v>89.142453363499996</v>
      </c>
      <c r="E12" s="156">
        <f>IF($B12=" ","",IFERROR(INDEX(MMWR_RATING_RO_ROLLUP[],MATCH($B12,MMWR_RATING_RO_ROLLUP[MMWR_RATING_RO_ROLLUP],0),MATCH(E$9,MMWR_RATING_RO_ROLLUP[#Headers],0))/$C12,"ERROR"))</f>
        <v>0.20115340621077132</v>
      </c>
      <c r="F12" s="154">
        <f>IF($B12=" ","",IFERROR(INDEX(MMWR_RATING_RO_ROLLUP[],MATCH($B12,MMWR_RATING_RO_ROLLUP[MMWR_RATING_RO_ROLLUP],0),MATCH(F$9,MMWR_RATING_RO_ROLLUP[#Headers],0)),"ERROR"))</f>
        <v>100920</v>
      </c>
      <c r="G12" s="154">
        <f>IF($B12=" ","",IFERROR(INDEX(MMWR_RATING_RO_ROLLUP[],MATCH($B12,MMWR_RATING_RO_ROLLUP[MMWR_RATING_RO_ROLLUP],0),MATCH(G$9,MMWR_RATING_RO_ROLLUP[#Headers],0)),"ERROR"))</f>
        <v>1045566</v>
      </c>
      <c r="H12" s="155">
        <f>IF($B12=" ","",IFERROR(INDEX(MMWR_RATING_RO_ROLLUP[],MATCH($B12,MMWR_RATING_RO_ROLLUP[MMWR_RATING_RO_ROLLUP],0),MATCH(H$9,MMWR_RATING_RO_ROLLUP[#Headers],0)),"ERROR"))</f>
        <v>121.0961256441</v>
      </c>
      <c r="I12" s="155">
        <f>IF($B12=" ","",IFERROR(INDEX(MMWR_RATING_RO_ROLLUP[],MATCH($B12,MMWR_RATING_RO_ROLLUP[MMWR_RATING_RO_ROLLUP],0),MATCH(I$9,MMWR_RATING_RO_ROLLUP[#Headers],0)),"ERROR"))</f>
        <v>123.16182622620001</v>
      </c>
      <c r="J12" s="42"/>
      <c r="K12" s="42"/>
      <c r="L12" s="42"/>
      <c r="M12" s="42"/>
      <c r="N12" s="28"/>
    </row>
    <row r="13" spans="1:16" x14ac:dyDescent="0.2">
      <c r="A13" s="25"/>
      <c r="B13" s="342" t="s">
        <v>731</v>
      </c>
      <c r="C13" s="343"/>
      <c r="D13" s="343"/>
      <c r="E13" s="343"/>
      <c r="F13" s="343"/>
      <c r="G13" s="343"/>
      <c r="H13" s="343"/>
      <c r="I13" s="343"/>
      <c r="J13" s="343"/>
      <c r="K13" s="343"/>
      <c r="L13" s="343"/>
      <c r="M13" s="393"/>
      <c r="N13" s="28"/>
    </row>
    <row r="14" spans="1:16" x14ac:dyDescent="0.2">
      <c r="A14" s="25"/>
      <c r="B14" s="41" t="s">
        <v>727</v>
      </c>
      <c r="C14" s="154">
        <f>IF($B14=" ","",IFERROR(INDEX(MMWR_RATING_RO_ROLLUP[],MATCH($B14,MMWR_RATING_RO_ROLLUP[MMWR_RATING_RO_ROLLUP],0),MATCH(C$9,MMWR_RATING_RO_ROLLUP[#Headers],0)),"ERROR"))</f>
        <v>334999</v>
      </c>
      <c r="D14" s="155">
        <f>IF($B14=" ","",IFERROR(INDEX(MMWR_RATING_RO_ROLLUP[],MATCH($B14,MMWR_RATING_RO_ROLLUP[MMWR_RATING_RO_ROLLUP],0),MATCH(D$9,MMWR_RATING_RO_ROLLUP[#Headers],0)),"ERROR"))</f>
        <v>91.615366015999996</v>
      </c>
      <c r="E14" s="156">
        <f>IF($B14=" ","",IFERROR(INDEX(MMWR_RATING_RO_ROLLUP[],MATCH($B14,MMWR_RATING_RO_ROLLUP[MMWR_RATING_RO_ROLLUP],0),MATCH(E$9,MMWR_RATING_RO_ROLLUP[#Headers],0))/$C14,"ERROR"))</f>
        <v>0.21132003379114564</v>
      </c>
      <c r="F14" s="154">
        <f>IF($B14=" ","",IFERROR(INDEX(MMWR_RATING_RO_ROLLUP[],MATCH($B14,MMWR_RATING_RO_ROLLUP[MMWR_RATING_RO_ROLLUP],0),MATCH(F$9,MMWR_RATING_RO_ROLLUP[#Headers],0)),"ERROR"))</f>
        <v>83881</v>
      </c>
      <c r="G14" s="154">
        <f>IF($B14=" ","",IFERROR(INDEX(MMWR_RATING_RO_ROLLUP[],MATCH($B14,MMWR_RATING_RO_ROLLUP[MMWR_RATING_RO_ROLLUP],0),MATCH(G$9,MMWR_RATING_RO_ROLLUP[#Headers],0)),"ERROR"))</f>
        <v>877661</v>
      </c>
      <c r="H14" s="155">
        <f>IF($B14=" ","",IFERROR(INDEX(MMWR_RATING_RO_ROLLUP[],MATCH($B14,MMWR_RATING_RO_ROLLUP[MMWR_RATING_RO_ROLLUP],0),MATCH(H$9,MMWR_RATING_RO_ROLLUP[#Headers],0)),"ERROR"))</f>
        <v>126.703162814</v>
      </c>
      <c r="I14" s="155">
        <f>IF($B14=" ","",IFERROR(INDEX(MMWR_RATING_RO_ROLLUP[],MATCH($B14,MMWR_RATING_RO_ROLLUP[MMWR_RATING_RO_ROLLUP],0),MATCH(I$9,MMWR_RATING_RO_ROLLUP[#Headers],0)),"ERROR"))</f>
        <v>128.72030544820001</v>
      </c>
      <c r="J14" s="42"/>
      <c r="K14" s="42"/>
      <c r="L14" s="42"/>
      <c r="M14" s="42"/>
      <c r="N14" s="28"/>
    </row>
    <row r="15" spans="1:16" x14ac:dyDescent="0.2">
      <c r="A15" s="25"/>
      <c r="B15" s="247" t="s">
        <v>368</v>
      </c>
      <c r="C15" s="154">
        <f>IF($B15=" ","",IFERROR(INDEX(MMWR_RATING_RO_ROLLUP[],MATCH($B15,MMWR_RATING_RO_ROLLUP[MMWR_RATING_RO_ROLLUP],0),MATCH(C$9,MMWR_RATING_RO_ROLLUP[#Headers],0)),"ERROR"))</f>
        <v>74116</v>
      </c>
      <c r="D15" s="155">
        <f>IF($B15=" ","",IFERROR(INDEX(MMWR_RATING_RO_ROLLUP[],MATCH($B15,MMWR_RATING_RO_ROLLUP[MMWR_RATING_RO_ROLLUP],0),MATCH(D$9,MMWR_RATING_RO_ROLLUP[#Headers],0)),"ERROR"))</f>
        <v>95.267985320299999</v>
      </c>
      <c r="E15" s="156">
        <f>IF($B15=" ","",IFERROR(INDEX(MMWR_RATING_RO_ROLLUP[],MATCH($B15,MMWR_RATING_RO_ROLLUP[MMWR_RATING_RO_ROLLUP],0),MATCH(E$9,MMWR_RATING_RO_ROLLUP[#Headers],0))/$C15,"ERROR"))</f>
        <v>0.22711695180527822</v>
      </c>
      <c r="F15" s="154">
        <f>IF($B15=" ","",IFERROR(INDEX(MMWR_RATING_RO_ROLLUP[],MATCH($B15,MMWR_RATING_RO_ROLLUP[MMWR_RATING_RO_ROLLUP],0),MATCH(F$9,MMWR_RATING_RO_ROLLUP[#Headers],0)),"ERROR"))</f>
        <v>19596</v>
      </c>
      <c r="G15" s="154">
        <f>IF($B15=" ","",IFERROR(INDEX(MMWR_RATING_RO_ROLLUP[],MATCH($B15,MMWR_RATING_RO_ROLLUP[MMWR_RATING_RO_ROLLUP],0),MATCH(G$9,MMWR_RATING_RO_ROLLUP[#Headers],0)),"ERROR"))</f>
        <v>194172</v>
      </c>
      <c r="H15" s="155">
        <f>IF($B15=" ","",IFERROR(INDEX(MMWR_RATING_RO_ROLLUP[],MATCH($B15,MMWR_RATING_RO_ROLLUP[MMWR_RATING_RO_ROLLUP],0),MATCH(H$9,MMWR_RATING_RO_ROLLUP[#Headers],0)),"ERROR"))</f>
        <v>129.36339048790001</v>
      </c>
      <c r="I15" s="155">
        <f>IF($B15=" ","",IFERROR(INDEX(MMWR_RATING_RO_ROLLUP[],MATCH($B15,MMWR_RATING_RO_ROLLUP[MMWR_RATING_RO_ROLLUP],0),MATCH(I$9,MMWR_RATING_RO_ROLLUP[#Headers],0)),"ERROR"))</f>
        <v>130.66151144349999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5573</v>
      </c>
      <c r="D16" s="155">
        <f>IF($B16=" ","",IFERROR(INDEX(MMWR_RATING_RO_ROLLUP[],MATCH($B16,MMWR_RATING_RO_ROLLUP[MMWR_RATING_RO_ROLLUP],0),MATCH(D$9,MMWR_RATING_RO_ROLLUP[#Headers],0)),"ERROR"))</f>
        <v>94.357078772700007</v>
      </c>
      <c r="E16" s="156">
        <f>IF($B16=" ","",IFERROR(INDEX(MMWR_RATING_RO_ROLLUP[],MATCH($B16,MMWR_RATING_RO_ROLLUP[MMWR_RATING_RO_ROLLUP],0),MATCH(E$9,MMWR_RATING_RO_ROLLUP[#Headers],0))/$C16,"ERROR"))</f>
        <v>0.22411627489682398</v>
      </c>
      <c r="F16" s="154">
        <f>IF($B16=" ","",IFERROR(INDEX(MMWR_RATING_RO_ROLLUP[],MATCH($B16,MMWR_RATING_RO_ROLLUP[MMWR_RATING_RO_ROLLUP],0),MATCH(F$9,MMWR_RATING_RO_ROLLUP[#Headers],0)),"ERROR"))</f>
        <v>1505</v>
      </c>
      <c r="G16" s="154">
        <f>IF($B16=" ","",IFERROR(INDEX(MMWR_RATING_RO_ROLLUP[],MATCH($B16,MMWR_RATING_RO_ROLLUP[MMWR_RATING_RO_ROLLUP],0),MATCH(G$9,MMWR_RATING_RO_ROLLUP[#Headers],0)),"ERROR"))</f>
        <v>12881</v>
      </c>
      <c r="H16" s="155">
        <f>IF($B16=" ","",IFERROR(INDEX(MMWR_RATING_RO_ROLLUP[],MATCH($B16,MMWR_RATING_RO_ROLLUP[MMWR_RATING_RO_ROLLUP],0),MATCH(H$9,MMWR_RATING_RO_ROLLUP[#Headers],0)),"ERROR"))</f>
        <v>140.89169435220001</v>
      </c>
      <c r="I16" s="155">
        <f>IF($B16=" ","",IFERROR(INDEX(MMWR_RATING_RO_ROLLUP[],MATCH($B16,MMWR_RATING_RO_ROLLUP[MMWR_RATING_RO_ROLLUP],0),MATCH(I$9,MMWR_RATING_RO_ROLLUP[#Headers],0)),"ERROR"))</f>
        <v>142.63838211320001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3475</v>
      </c>
      <c r="D17" s="155">
        <f>IF($B17=" ","",IFERROR(INDEX(MMWR_RATING_RO_ROLLUP[],MATCH($B17,MMWR_RATING_RO_ROLLUP[MMWR_RATING_RO_ROLLUP],0),MATCH(D$9,MMWR_RATING_RO_ROLLUP[#Headers],0)),"ERROR"))</f>
        <v>84.675683453199994</v>
      </c>
      <c r="E17" s="156">
        <f>IF($B17=" ","",IFERROR(INDEX(MMWR_RATING_RO_ROLLUP[],MATCH($B17,MMWR_RATING_RO_ROLLUP[MMWR_RATING_RO_ROLLUP],0),MATCH(E$9,MMWR_RATING_RO_ROLLUP[#Headers],0))/$C17,"ERROR"))</f>
        <v>0.18762589928057555</v>
      </c>
      <c r="F17" s="154">
        <f>IF($B17=" ","",IFERROR(INDEX(MMWR_RATING_RO_ROLLUP[],MATCH($B17,MMWR_RATING_RO_ROLLUP[MMWR_RATING_RO_ROLLUP],0),MATCH(F$9,MMWR_RATING_RO_ROLLUP[#Headers],0)),"ERROR"))</f>
        <v>826</v>
      </c>
      <c r="G17" s="154">
        <f>IF($B17=" ","",IFERROR(INDEX(MMWR_RATING_RO_ROLLUP[],MATCH($B17,MMWR_RATING_RO_ROLLUP[MMWR_RATING_RO_ROLLUP],0),MATCH(G$9,MMWR_RATING_RO_ROLLUP[#Headers],0)),"ERROR"))</f>
        <v>9445</v>
      </c>
      <c r="H17" s="155">
        <f>IF($B17=" ","",IFERROR(INDEX(MMWR_RATING_RO_ROLLUP[],MATCH($B17,MMWR_RATING_RO_ROLLUP[MMWR_RATING_RO_ROLLUP],0),MATCH(H$9,MMWR_RATING_RO_ROLLUP[#Headers],0)),"ERROR"))</f>
        <v>124.8547215496</v>
      </c>
      <c r="I17" s="155">
        <f>IF($B17=" ","",IFERROR(INDEX(MMWR_RATING_RO_ROLLUP[],MATCH($B17,MMWR_RATING_RO_ROLLUP[MMWR_RATING_RO_ROLLUP],0),MATCH(I$9,MMWR_RATING_RO_ROLLUP[#Headers],0)),"ERROR"))</f>
        <v>130.48904182109999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3827</v>
      </c>
      <c r="D18" s="155">
        <f>IF($B18=" ","",IFERROR(INDEX(MMWR_RATING_RO_ROLLUP[],MATCH($B18,MMWR_RATING_RO_ROLLUP[MMWR_RATING_RO_ROLLUP],0),MATCH(D$9,MMWR_RATING_RO_ROLLUP[#Headers],0)),"ERROR"))</f>
        <v>86.420433760099996</v>
      </c>
      <c r="E18" s="156">
        <f>IF($B18=" ","",IFERROR(INDEX(MMWR_RATING_RO_ROLLUP[],MATCH($B18,MMWR_RATING_RO_ROLLUP[MMWR_RATING_RO_ROLLUP],0),MATCH(E$9,MMWR_RATING_RO_ROLLUP[#Headers],0))/$C18,"ERROR"))</f>
        <v>0.19022733211392737</v>
      </c>
      <c r="F18" s="154">
        <f>IF($B18=" ","",IFERROR(INDEX(MMWR_RATING_RO_ROLLUP[],MATCH($B18,MMWR_RATING_RO_ROLLUP[MMWR_RATING_RO_ROLLUP],0),MATCH(F$9,MMWR_RATING_RO_ROLLUP[#Headers],0)),"ERROR"))</f>
        <v>1000</v>
      </c>
      <c r="G18" s="154">
        <f>IF($B18=" ","",IFERROR(INDEX(MMWR_RATING_RO_ROLLUP[],MATCH($B18,MMWR_RATING_RO_ROLLUP[MMWR_RATING_RO_ROLLUP],0),MATCH(G$9,MMWR_RATING_RO_ROLLUP[#Headers],0)),"ERROR"))</f>
        <v>10694</v>
      </c>
      <c r="H18" s="155">
        <f>IF($B18=" ","",IFERROR(INDEX(MMWR_RATING_RO_ROLLUP[],MATCH($B18,MMWR_RATING_RO_ROLLUP[MMWR_RATING_RO_ROLLUP],0),MATCH(H$9,MMWR_RATING_RO_ROLLUP[#Headers],0)),"ERROR"))</f>
        <v>126.099</v>
      </c>
      <c r="I18" s="155">
        <f>IF($B18=" ","",IFERROR(INDEX(MMWR_RATING_RO_ROLLUP[],MATCH($B18,MMWR_RATING_RO_ROLLUP[MMWR_RATING_RO_ROLLUP],0),MATCH(I$9,MMWR_RATING_RO_ROLLUP[#Headers],0)),"ERROR"))</f>
        <v>133.51215634939999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1885</v>
      </c>
      <c r="D19" s="155">
        <f>IF($B19=" ","",IFERROR(INDEX(MMWR_RATING_RO_ROLLUP[],MATCH($B19,MMWR_RATING_RO_ROLLUP[MMWR_RATING_RO_ROLLUP],0),MATCH(D$9,MMWR_RATING_RO_ROLLUP[#Headers],0)),"ERROR"))</f>
        <v>85.565517241400002</v>
      </c>
      <c r="E19" s="156">
        <f>IF($B19=" ","",IFERROR(INDEX(MMWR_RATING_RO_ROLLUP[],MATCH($B19,MMWR_RATING_RO_ROLLUP[MMWR_RATING_RO_ROLLUP],0),MATCH(E$9,MMWR_RATING_RO_ROLLUP[#Headers],0))/$C19,"ERROR"))</f>
        <v>0.17665782493368701</v>
      </c>
      <c r="F19" s="154">
        <f>IF($B19=" ","",IFERROR(INDEX(MMWR_RATING_RO_ROLLUP[],MATCH($B19,MMWR_RATING_RO_ROLLUP[MMWR_RATING_RO_ROLLUP],0),MATCH(F$9,MMWR_RATING_RO_ROLLUP[#Headers],0)),"ERROR"))</f>
        <v>532</v>
      </c>
      <c r="G19" s="154">
        <f>IF($B19=" ","",IFERROR(INDEX(MMWR_RATING_RO_ROLLUP[],MATCH($B19,MMWR_RATING_RO_ROLLUP[MMWR_RATING_RO_ROLLUP],0),MATCH(G$9,MMWR_RATING_RO_ROLLUP[#Headers],0)),"ERROR"))</f>
        <v>5439</v>
      </c>
      <c r="H19" s="155">
        <f>IF($B19=" ","",IFERROR(INDEX(MMWR_RATING_RO_ROLLUP[],MATCH($B19,MMWR_RATING_RO_ROLLUP[MMWR_RATING_RO_ROLLUP],0),MATCH(H$9,MMWR_RATING_RO_ROLLUP[#Headers],0)),"ERROR"))</f>
        <v>120.6992481203</v>
      </c>
      <c r="I19" s="155">
        <f>IF($B19=" ","",IFERROR(INDEX(MMWR_RATING_RO_ROLLUP[],MATCH($B19,MMWR_RATING_RO_ROLLUP[MMWR_RATING_RO_ROLLUP],0),MATCH(I$9,MMWR_RATING_RO_ROLLUP[#Headers],0)),"ERROR"))</f>
        <v>115.2610774039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2311</v>
      </c>
      <c r="D20" s="155">
        <f>IF($B20=" ","",IFERROR(INDEX(MMWR_RATING_RO_ROLLUP[],MATCH($B20,MMWR_RATING_RO_ROLLUP[MMWR_RATING_RO_ROLLUP],0),MATCH(D$9,MMWR_RATING_RO_ROLLUP[#Headers],0)),"ERROR"))</f>
        <v>83.690610125500001</v>
      </c>
      <c r="E20" s="156">
        <f>IF($B20=" ","",IFERROR(INDEX(MMWR_RATING_RO_ROLLUP[],MATCH($B20,MMWR_RATING_RO_ROLLUP[MMWR_RATING_RO_ROLLUP],0),MATCH(E$9,MMWR_RATING_RO_ROLLUP[#Headers],0))/$C20,"ERROR"))</f>
        <v>0.17957594115101688</v>
      </c>
      <c r="F20" s="154">
        <f>IF($B20=" ","",IFERROR(INDEX(MMWR_RATING_RO_ROLLUP[],MATCH($B20,MMWR_RATING_RO_ROLLUP[MMWR_RATING_RO_ROLLUP],0),MATCH(F$9,MMWR_RATING_RO_ROLLUP[#Headers],0)),"ERROR"))</f>
        <v>919</v>
      </c>
      <c r="G20" s="154">
        <f>IF($B20=" ","",IFERROR(INDEX(MMWR_RATING_RO_ROLLUP[],MATCH($B20,MMWR_RATING_RO_ROLLUP[MMWR_RATING_RO_ROLLUP],0),MATCH(G$9,MMWR_RATING_RO_ROLLUP[#Headers],0)),"ERROR"))</f>
        <v>7723</v>
      </c>
      <c r="H20" s="155">
        <f>IF($B20=" ","",IFERROR(INDEX(MMWR_RATING_RO_ROLLUP[],MATCH($B20,MMWR_RATING_RO_ROLLUP[MMWR_RATING_RO_ROLLUP],0),MATCH(H$9,MMWR_RATING_RO_ROLLUP[#Headers],0)),"ERROR"))</f>
        <v>123.6496191513</v>
      </c>
      <c r="I20" s="155">
        <f>IF($B20=" ","",IFERROR(INDEX(MMWR_RATING_RO_ROLLUP[],MATCH($B20,MMWR_RATING_RO_ROLLUP[MMWR_RATING_RO_ROLLUP],0),MATCH(I$9,MMWR_RATING_RO_ROLLUP[#Headers],0)),"ERROR"))</f>
        <v>117.05127541109999</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1276</v>
      </c>
      <c r="D21" s="155">
        <f>IF($B21=" ","",IFERROR(INDEX(MMWR_RATING_RO_ROLLUP[],MATCH($B21,MMWR_RATING_RO_ROLLUP[MMWR_RATING_RO_ROLLUP],0),MATCH(D$9,MMWR_RATING_RO_ROLLUP[#Headers],0)),"ERROR"))</f>
        <v>77.510971786799999</v>
      </c>
      <c r="E21" s="156">
        <f>IF($B21=" ","",IFERROR(INDEX(MMWR_RATING_RO_ROLLUP[],MATCH($B21,MMWR_RATING_RO_ROLLUP[MMWR_RATING_RO_ROLLUP],0),MATCH(E$9,MMWR_RATING_RO_ROLLUP[#Headers],0))/$C21,"ERROR"))</f>
        <v>0.13871473354231975</v>
      </c>
      <c r="F21" s="154">
        <f>IF($B21=" ","",IFERROR(INDEX(MMWR_RATING_RO_ROLLUP[],MATCH($B21,MMWR_RATING_RO_ROLLUP[MMWR_RATING_RO_ROLLUP],0),MATCH(F$9,MMWR_RATING_RO_ROLLUP[#Headers],0)),"ERROR"))</f>
        <v>355</v>
      </c>
      <c r="G21" s="154">
        <f>IF($B21=" ","",IFERROR(INDEX(MMWR_RATING_RO_ROLLUP[],MATCH($B21,MMWR_RATING_RO_ROLLUP[MMWR_RATING_RO_ROLLUP],0),MATCH(G$9,MMWR_RATING_RO_ROLLUP[#Headers],0)),"ERROR"))</f>
        <v>3287</v>
      </c>
      <c r="H21" s="155">
        <f>IF($B21=" ","",IFERROR(INDEX(MMWR_RATING_RO_ROLLUP[],MATCH($B21,MMWR_RATING_RO_ROLLUP[MMWR_RATING_RO_ROLLUP],0),MATCH(H$9,MMWR_RATING_RO_ROLLUP[#Headers],0)),"ERROR"))</f>
        <v>120.0309859155</v>
      </c>
      <c r="I21" s="155">
        <f>IF($B21=" ","",IFERROR(INDEX(MMWR_RATING_RO_ROLLUP[],MATCH($B21,MMWR_RATING_RO_ROLLUP[MMWR_RATING_RO_ROLLUP],0),MATCH(I$9,MMWR_RATING_RO_ROLLUP[#Headers],0)),"ERROR"))</f>
        <v>126.8923030119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4973</v>
      </c>
      <c r="D22" s="155">
        <f>IF($B22=" ","",IFERROR(INDEX(MMWR_RATING_RO_ROLLUP[],MATCH($B22,MMWR_RATING_RO_ROLLUP[MMWR_RATING_RO_ROLLUP],0),MATCH(D$9,MMWR_RATING_RO_ROLLUP[#Headers],0)),"ERROR"))</f>
        <v>111.003016288</v>
      </c>
      <c r="E22" s="156">
        <f>IF($B22=" ","",IFERROR(INDEX(MMWR_RATING_RO_ROLLUP[],MATCH($B22,MMWR_RATING_RO_ROLLUP[MMWR_RATING_RO_ROLLUP],0),MATCH(E$9,MMWR_RATING_RO_ROLLUP[#Headers],0))/$C22,"ERROR"))</f>
        <v>0.28795495676653932</v>
      </c>
      <c r="F22" s="154">
        <f>IF($B22=" ","",IFERROR(INDEX(MMWR_RATING_RO_ROLLUP[],MATCH($B22,MMWR_RATING_RO_ROLLUP[MMWR_RATING_RO_ROLLUP],0),MATCH(F$9,MMWR_RATING_RO_ROLLUP[#Headers],0)),"ERROR"))</f>
        <v>1163</v>
      </c>
      <c r="G22" s="154">
        <f>IF($B22=" ","",IFERROR(INDEX(MMWR_RATING_RO_ROLLUP[],MATCH($B22,MMWR_RATING_RO_ROLLUP[MMWR_RATING_RO_ROLLUP],0),MATCH(G$9,MMWR_RATING_RO_ROLLUP[#Headers],0)),"ERROR"))</f>
        <v>11791</v>
      </c>
      <c r="H22" s="155">
        <f>IF($B22=" ","",IFERROR(INDEX(MMWR_RATING_RO_ROLLUP[],MATCH($B22,MMWR_RATING_RO_ROLLUP[MMWR_RATING_RO_ROLLUP],0),MATCH(H$9,MMWR_RATING_RO_ROLLUP[#Headers],0)),"ERROR"))</f>
        <v>142.43938091140001</v>
      </c>
      <c r="I22" s="155">
        <f>IF($B22=" ","",IFERROR(INDEX(MMWR_RATING_RO_ROLLUP[],MATCH($B22,MMWR_RATING_RO_ROLLUP[MMWR_RATING_RO_ROLLUP],0),MATCH(I$9,MMWR_RATING_RO_ROLLUP[#Headers],0)),"ERROR"))</f>
        <v>137.3522177932</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2874</v>
      </c>
      <c r="D23" s="155">
        <f>IF($B23=" ","",IFERROR(INDEX(MMWR_RATING_RO_ROLLUP[],MATCH($B23,MMWR_RATING_RO_ROLLUP[MMWR_RATING_RO_ROLLUP],0),MATCH(D$9,MMWR_RATING_RO_ROLLUP[#Headers],0)),"ERROR"))</f>
        <v>96.272094641600006</v>
      </c>
      <c r="E23" s="156">
        <f>IF($B23=" ","",IFERROR(INDEX(MMWR_RATING_RO_ROLLUP[],MATCH($B23,MMWR_RATING_RO_ROLLUP[MMWR_RATING_RO_ROLLUP],0),MATCH(E$9,MMWR_RATING_RO_ROLLUP[#Headers],0))/$C23,"ERROR"))</f>
        <v>0.24565066109951286</v>
      </c>
      <c r="F23" s="154">
        <f>IF($B23=" ","",IFERROR(INDEX(MMWR_RATING_RO_ROLLUP[],MATCH($B23,MMWR_RATING_RO_ROLLUP[MMWR_RATING_RO_ROLLUP],0),MATCH(F$9,MMWR_RATING_RO_ROLLUP[#Headers],0)),"ERROR"))</f>
        <v>643</v>
      </c>
      <c r="G23" s="154">
        <f>IF($B23=" ","",IFERROR(INDEX(MMWR_RATING_RO_ROLLUP[],MATCH($B23,MMWR_RATING_RO_ROLLUP[MMWR_RATING_RO_ROLLUP],0),MATCH(G$9,MMWR_RATING_RO_ROLLUP[#Headers],0)),"ERROR"))</f>
        <v>6613</v>
      </c>
      <c r="H23" s="155">
        <f>IF($B23=" ","",IFERROR(INDEX(MMWR_RATING_RO_ROLLUP[],MATCH($B23,MMWR_RATING_RO_ROLLUP[MMWR_RATING_RO_ROLLUP],0),MATCH(H$9,MMWR_RATING_RO_ROLLUP[#Headers],0)),"ERROR"))</f>
        <v>144.701399689</v>
      </c>
      <c r="I23" s="155">
        <f>IF($B23=" ","",IFERROR(INDEX(MMWR_RATING_RO_ROLLUP[],MATCH($B23,MMWR_RATING_RO_ROLLUP[MMWR_RATING_RO_ROLLUP],0),MATCH(I$9,MMWR_RATING_RO_ROLLUP[#Headers],0)),"ERROR"))</f>
        <v>137.7149553909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8528</v>
      </c>
      <c r="D24" s="155">
        <f>IF($B24=" ","",IFERROR(INDEX(MMWR_RATING_RO_ROLLUP[],MATCH($B24,MMWR_RATING_RO_ROLLUP[MMWR_RATING_RO_ROLLUP],0),MATCH(D$9,MMWR_RATING_RO_ROLLUP[#Headers],0)),"ERROR"))</f>
        <v>119.3870778612</v>
      </c>
      <c r="E24" s="156">
        <f>IF($B24=" ","",IFERROR(INDEX(MMWR_RATING_RO_ROLLUP[],MATCH($B24,MMWR_RATING_RO_ROLLUP[MMWR_RATING_RO_ROLLUP],0),MATCH(E$9,MMWR_RATING_RO_ROLLUP[#Headers],0))/$C24,"ERROR"))</f>
        <v>0.30909943714821764</v>
      </c>
      <c r="F24" s="154">
        <f>IF($B24=" ","",IFERROR(INDEX(MMWR_RATING_RO_ROLLUP[],MATCH($B24,MMWR_RATING_RO_ROLLUP[MMWR_RATING_RO_ROLLUP],0),MATCH(F$9,MMWR_RATING_RO_ROLLUP[#Headers],0)),"ERROR"))</f>
        <v>1779</v>
      </c>
      <c r="G24" s="154">
        <f>IF($B24=" ","",IFERROR(INDEX(MMWR_RATING_RO_ROLLUP[],MATCH($B24,MMWR_RATING_RO_ROLLUP[MMWR_RATING_RO_ROLLUP],0),MATCH(G$9,MMWR_RATING_RO_ROLLUP[#Headers],0)),"ERROR"))</f>
        <v>19178</v>
      </c>
      <c r="H24" s="155">
        <f>IF($B24=" ","",IFERROR(INDEX(MMWR_RATING_RO_ROLLUP[],MATCH($B24,MMWR_RATING_RO_ROLLUP[MMWR_RATING_RO_ROLLUP],0),MATCH(H$9,MMWR_RATING_RO_ROLLUP[#Headers],0)),"ERROR"))</f>
        <v>150.50702641929999</v>
      </c>
      <c r="I24" s="155">
        <f>IF($B24=" ","",IFERROR(INDEX(MMWR_RATING_RO_ROLLUP[],MATCH($B24,MMWR_RATING_RO_ROLLUP[MMWR_RATING_RO_ROLLUP],0),MATCH(I$9,MMWR_RATING_RO_ROLLUP[#Headers],0)),"ERROR"))</f>
        <v>148.6676400042</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4676</v>
      </c>
      <c r="D25" s="155">
        <f>IF($B25=" ","",IFERROR(INDEX(MMWR_RATING_RO_ROLLUP[],MATCH($B25,MMWR_RATING_RO_ROLLUP[MMWR_RATING_RO_ROLLUP],0),MATCH(D$9,MMWR_RATING_RO_ROLLUP[#Headers],0)),"ERROR"))</f>
        <v>114.5915312233</v>
      </c>
      <c r="E25" s="156">
        <f>IF($B25=" ","",IFERROR(INDEX(MMWR_RATING_RO_ROLLUP[],MATCH($B25,MMWR_RATING_RO_ROLLUP[MMWR_RATING_RO_ROLLUP],0),MATCH(E$9,MMWR_RATING_RO_ROLLUP[#Headers],0))/$C25,"ERROR"))</f>
        <v>0.31522668947818649</v>
      </c>
      <c r="F25" s="154">
        <f>IF($B25=" ","",IFERROR(INDEX(MMWR_RATING_RO_ROLLUP[],MATCH($B25,MMWR_RATING_RO_ROLLUP[MMWR_RATING_RO_ROLLUP],0),MATCH(F$9,MMWR_RATING_RO_ROLLUP[#Headers],0)),"ERROR"))</f>
        <v>1196</v>
      </c>
      <c r="G25" s="154">
        <f>IF($B25=" ","",IFERROR(INDEX(MMWR_RATING_RO_ROLLUP[],MATCH($B25,MMWR_RATING_RO_ROLLUP[MMWR_RATING_RO_ROLLUP],0),MATCH(G$9,MMWR_RATING_RO_ROLLUP[#Headers],0)),"ERROR"))</f>
        <v>10912</v>
      </c>
      <c r="H25" s="155">
        <f>IF($B25=" ","",IFERROR(INDEX(MMWR_RATING_RO_ROLLUP[],MATCH($B25,MMWR_RATING_RO_ROLLUP[MMWR_RATING_RO_ROLLUP],0),MATCH(H$9,MMWR_RATING_RO_ROLLUP[#Headers],0)),"ERROR"))</f>
        <v>159.1864548495</v>
      </c>
      <c r="I25" s="155">
        <f>IF($B25=" ","",IFERROR(INDEX(MMWR_RATING_RO_ROLLUP[],MATCH($B25,MMWR_RATING_RO_ROLLUP[MMWR_RATING_RO_ROLLUP],0),MATCH(I$9,MMWR_RATING_RO_ROLLUP[#Headers],0)),"ERROR"))</f>
        <v>157.51457111440001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2908</v>
      </c>
      <c r="D26" s="155">
        <f>IF($B26=" ","",IFERROR(INDEX(MMWR_RATING_RO_ROLLUP[],MATCH($B26,MMWR_RATING_RO_ROLLUP[MMWR_RATING_RO_ROLLUP],0),MATCH(D$9,MMWR_RATING_RO_ROLLUP[#Headers],0)),"ERROR"))</f>
        <v>68.060178817099995</v>
      </c>
      <c r="E26" s="156">
        <f>IF($B26=" ","",IFERROR(INDEX(MMWR_RATING_RO_ROLLUP[],MATCH($B26,MMWR_RATING_RO_ROLLUP[MMWR_RATING_RO_ROLLUP],0),MATCH(E$9,MMWR_RATING_RO_ROLLUP[#Headers],0))/$C26,"ERROR"))</f>
        <v>0.1234525447042641</v>
      </c>
      <c r="F26" s="154">
        <f>IF($B26=" ","",IFERROR(INDEX(MMWR_RATING_RO_ROLLUP[],MATCH($B26,MMWR_RATING_RO_ROLLUP[MMWR_RATING_RO_ROLLUP],0),MATCH(F$9,MMWR_RATING_RO_ROLLUP[#Headers],0)),"ERROR"))</f>
        <v>1760</v>
      </c>
      <c r="G26" s="154">
        <f>IF($B26=" ","",IFERROR(INDEX(MMWR_RATING_RO_ROLLUP[],MATCH($B26,MMWR_RATING_RO_ROLLUP[MMWR_RATING_RO_ROLLUP],0),MATCH(G$9,MMWR_RATING_RO_ROLLUP[#Headers],0)),"ERROR"))</f>
        <v>17959</v>
      </c>
      <c r="H26" s="155">
        <f>IF($B26=" ","",IFERROR(INDEX(MMWR_RATING_RO_ROLLUP[],MATCH($B26,MMWR_RATING_RO_ROLLUP[MMWR_RATING_RO_ROLLUP],0),MATCH(H$9,MMWR_RATING_RO_ROLLUP[#Headers],0)),"ERROR"))</f>
        <v>58.091477272699997</v>
      </c>
      <c r="I26" s="155">
        <f>IF($B26=" ","",IFERROR(INDEX(MMWR_RATING_RO_ROLLUP[],MATCH($B26,MMWR_RATING_RO_ROLLUP[MMWR_RATING_RO_ROLLUP],0),MATCH(I$9,MMWR_RATING_RO_ROLLUP[#Headers],0)),"ERROR"))</f>
        <v>56.499025558200003</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11308</v>
      </c>
      <c r="D27" s="155">
        <f>IF($B27=" ","",IFERROR(INDEX(MMWR_RATING_RO_ROLLUP[],MATCH($B27,MMWR_RATING_RO_ROLLUP[MMWR_RATING_RO_ROLLUP],0),MATCH(D$9,MMWR_RATING_RO_ROLLUP[#Headers],0)),"ERROR"))</f>
        <v>89.049168730100007</v>
      </c>
      <c r="E27" s="156">
        <f>IF($B27=" ","",IFERROR(INDEX(MMWR_RATING_RO_ROLLUP[],MATCH($B27,MMWR_RATING_RO_ROLLUP[MMWR_RATING_RO_ROLLUP],0),MATCH(E$9,MMWR_RATING_RO_ROLLUP[#Headers],0))/$C27,"ERROR"))</f>
        <v>0.19702865228157057</v>
      </c>
      <c r="F27" s="154">
        <f>IF($B27=" ","",IFERROR(INDEX(MMWR_RATING_RO_ROLLUP[],MATCH($B27,MMWR_RATING_RO_ROLLUP[MMWR_RATING_RO_ROLLUP],0),MATCH(F$9,MMWR_RATING_RO_ROLLUP[#Headers],0)),"ERROR"))</f>
        <v>2762</v>
      </c>
      <c r="G27" s="154">
        <f>IF($B27=" ","",IFERROR(INDEX(MMWR_RATING_RO_ROLLUP[],MATCH($B27,MMWR_RATING_RO_ROLLUP[MMWR_RATING_RO_ROLLUP],0),MATCH(G$9,MMWR_RATING_RO_ROLLUP[#Headers],0)),"ERROR"))</f>
        <v>28794</v>
      </c>
      <c r="H27" s="155">
        <f>IF($B27=" ","",IFERROR(INDEX(MMWR_RATING_RO_ROLLUP[],MATCH($B27,MMWR_RATING_RO_ROLLUP[MMWR_RATING_RO_ROLLUP],0),MATCH(H$9,MMWR_RATING_RO_ROLLUP[#Headers],0)),"ERROR"))</f>
        <v>131.7324402607</v>
      </c>
      <c r="I27" s="155">
        <f>IF($B27=" ","",IFERROR(INDEX(MMWR_RATING_RO_ROLLUP[],MATCH($B27,MMWR_RATING_RO_ROLLUP[MMWR_RATING_RO_ROLLUP],0),MATCH(I$9,MMWR_RATING_RO_ROLLUP[#Headers],0)),"ERROR"))</f>
        <v>135.67371674649999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1518</v>
      </c>
      <c r="D28" s="155">
        <f>IF($B28=" ","",IFERROR(INDEX(MMWR_RATING_RO_ROLLUP[],MATCH($B28,MMWR_RATING_RO_ROLLUP[MMWR_RATING_RO_ROLLUP],0),MATCH(D$9,MMWR_RATING_RO_ROLLUP[#Headers],0)),"ERROR"))</f>
        <v>71.679841897200006</v>
      </c>
      <c r="E28" s="156">
        <f>IF($B28=" ","",IFERROR(INDEX(MMWR_RATING_RO_ROLLUP[],MATCH($B28,MMWR_RATING_RO_ROLLUP[MMWR_RATING_RO_ROLLUP],0),MATCH(E$9,MMWR_RATING_RO_ROLLUP[#Headers],0))/$C28,"ERROR"))</f>
        <v>0.11264822134387352</v>
      </c>
      <c r="F28" s="154">
        <f>IF($B28=" ","",IFERROR(INDEX(MMWR_RATING_RO_ROLLUP[],MATCH($B28,MMWR_RATING_RO_ROLLUP[MMWR_RATING_RO_ROLLUP],0),MATCH(F$9,MMWR_RATING_RO_ROLLUP[#Headers],0)),"ERROR"))</f>
        <v>444</v>
      </c>
      <c r="G28" s="154">
        <f>IF($B28=" ","",IFERROR(INDEX(MMWR_RATING_RO_ROLLUP[],MATCH($B28,MMWR_RATING_RO_ROLLUP[MMWR_RATING_RO_ROLLUP],0),MATCH(G$9,MMWR_RATING_RO_ROLLUP[#Headers],0)),"ERROR"))</f>
        <v>4278</v>
      </c>
      <c r="H28" s="155">
        <f>IF($B28=" ","",IFERROR(INDEX(MMWR_RATING_RO_ROLLUP[],MATCH($B28,MMWR_RATING_RO_ROLLUP[MMWR_RATING_RO_ROLLUP],0),MATCH(H$9,MMWR_RATING_RO_ROLLUP[#Headers],0)),"ERROR"))</f>
        <v>96.0427927928</v>
      </c>
      <c r="I28" s="155">
        <f>IF($B28=" ","",IFERROR(INDEX(MMWR_RATING_RO_ROLLUP[],MATCH($B28,MMWR_RATING_RO_ROLLUP[MMWR_RATING_RO_ROLLUP],0),MATCH(I$9,MMWR_RATING_RO_ROLLUP[#Headers],0)),"ERROR"))</f>
        <v>103.83567087420001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527</v>
      </c>
      <c r="D29" s="155">
        <f>IF($B29=" ","",IFERROR(INDEX(MMWR_RATING_RO_ROLLUP[],MATCH($B29,MMWR_RATING_RO_ROLLUP[MMWR_RATING_RO_ROLLUP],0),MATCH(D$9,MMWR_RATING_RO_ROLLUP[#Headers],0)),"ERROR"))</f>
        <v>95.364326375700003</v>
      </c>
      <c r="E29" s="156">
        <f>IF($B29=" ","",IFERROR(INDEX(MMWR_RATING_RO_ROLLUP[],MATCH($B29,MMWR_RATING_RO_ROLLUP[MMWR_RATING_RO_ROLLUP],0),MATCH(E$9,MMWR_RATING_RO_ROLLUP[#Headers],0))/$C29,"ERROR"))</f>
        <v>0.22960151802656548</v>
      </c>
      <c r="F29" s="154">
        <f>IF($B29=" ","",IFERROR(INDEX(MMWR_RATING_RO_ROLLUP[],MATCH($B29,MMWR_RATING_RO_ROLLUP[MMWR_RATING_RO_ROLLUP],0),MATCH(F$9,MMWR_RATING_RO_ROLLUP[#Headers],0)),"ERROR"))</f>
        <v>176</v>
      </c>
      <c r="G29" s="154">
        <f>IF($B29=" ","",IFERROR(INDEX(MMWR_RATING_RO_ROLLUP[],MATCH($B29,MMWR_RATING_RO_ROLLUP[MMWR_RATING_RO_ROLLUP],0),MATCH(G$9,MMWR_RATING_RO_ROLLUP[#Headers],0)),"ERROR"))</f>
        <v>1275</v>
      </c>
      <c r="H29" s="155">
        <f>IF($B29=" ","",IFERROR(INDEX(MMWR_RATING_RO_ROLLUP[],MATCH($B29,MMWR_RATING_RO_ROLLUP[MMWR_RATING_RO_ROLLUP],0),MATCH(H$9,MMWR_RATING_RO_ROLLUP[#Headers],0)),"ERROR"))</f>
        <v>154.2784090909</v>
      </c>
      <c r="I29" s="155">
        <f>IF($B29=" ","",IFERROR(INDEX(MMWR_RATING_RO_ROLLUP[],MATCH($B29,MMWR_RATING_RO_ROLLUP[MMWR_RATING_RO_ROLLUP],0),MATCH(I$9,MMWR_RATING_RO_ROLLUP[#Headers],0)),"ERROR"))</f>
        <v>137.86666666670001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860</v>
      </c>
      <c r="D30" s="155">
        <f>IF($B30=" ","",IFERROR(INDEX(MMWR_RATING_RO_ROLLUP[],MATCH($B30,MMWR_RATING_RO_ROLLUP[MMWR_RATING_RO_ROLLUP],0),MATCH(D$9,MMWR_RATING_RO_ROLLUP[#Headers],0)),"ERROR"))</f>
        <v>85.240697674399996</v>
      </c>
      <c r="E30" s="156">
        <f>IF($B30=" ","",IFERROR(INDEX(MMWR_RATING_RO_ROLLUP[],MATCH($B30,MMWR_RATING_RO_ROLLUP[MMWR_RATING_RO_ROLLUP],0),MATCH(E$9,MMWR_RATING_RO_ROLLUP[#Headers],0))/$C30,"ERROR"))</f>
        <v>0.19418604651162791</v>
      </c>
      <c r="F30" s="154">
        <f>IF($B30=" ","",IFERROR(INDEX(MMWR_RATING_RO_ROLLUP[],MATCH($B30,MMWR_RATING_RO_ROLLUP[MMWR_RATING_RO_ROLLUP],0),MATCH(F$9,MMWR_RATING_RO_ROLLUP[#Headers],0)),"ERROR"))</f>
        <v>193</v>
      </c>
      <c r="G30" s="154">
        <f>IF($B30=" ","",IFERROR(INDEX(MMWR_RATING_RO_ROLLUP[],MATCH($B30,MMWR_RATING_RO_ROLLUP[MMWR_RATING_RO_ROLLUP],0),MATCH(G$9,MMWR_RATING_RO_ROLLUP[#Headers],0)),"ERROR"))</f>
        <v>2045</v>
      </c>
      <c r="H30" s="155">
        <f>IF($B30=" ","",IFERROR(INDEX(MMWR_RATING_RO_ROLLUP[],MATCH($B30,MMWR_RATING_RO_ROLLUP[MMWR_RATING_RO_ROLLUP],0),MATCH(H$9,MMWR_RATING_RO_ROLLUP[#Headers],0)),"ERROR"))</f>
        <v>146.0103626943</v>
      </c>
      <c r="I30" s="155">
        <f>IF($B30=" ","",IFERROR(INDEX(MMWR_RATING_RO_ROLLUP[],MATCH($B30,MMWR_RATING_RO_ROLLUP[MMWR_RATING_RO_ROLLUP],0),MATCH(I$9,MMWR_RATING_RO_ROLLUP[#Headers],0)),"ERROR"))</f>
        <v>140.53691931540001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17597</v>
      </c>
      <c r="D31" s="155">
        <f>IF($B31=" ","",IFERROR(INDEX(MMWR_RATING_RO_ROLLUP[],MATCH($B31,MMWR_RATING_RO_ROLLUP[MMWR_RATING_RO_ROLLUP],0),MATCH(D$9,MMWR_RATING_RO_ROLLUP[#Headers],0)),"ERROR"))</f>
        <v>92.999886344299995</v>
      </c>
      <c r="E31" s="156">
        <f>IF($B31=" ","",IFERROR(INDEX(MMWR_RATING_RO_ROLLUP[],MATCH($B31,MMWR_RATING_RO_ROLLUP[MMWR_RATING_RO_ROLLUP],0),MATCH(E$9,MMWR_RATING_RO_ROLLUP[#Headers],0))/$C31,"ERROR"))</f>
        <v>0.2264590555208274</v>
      </c>
      <c r="F31" s="154">
        <f>IF($B31=" ","",IFERROR(INDEX(MMWR_RATING_RO_ROLLUP[],MATCH($B31,MMWR_RATING_RO_ROLLUP[MMWR_RATING_RO_ROLLUP],0),MATCH(F$9,MMWR_RATING_RO_ROLLUP[#Headers],0)),"ERROR"))</f>
        <v>4343</v>
      </c>
      <c r="G31" s="154">
        <f>IF($B31=" ","",IFERROR(INDEX(MMWR_RATING_RO_ROLLUP[],MATCH($B31,MMWR_RATING_RO_ROLLUP[MMWR_RATING_RO_ROLLUP],0),MATCH(G$9,MMWR_RATING_RO_ROLLUP[#Headers],0)),"ERROR"))</f>
        <v>41858</v>
      </c>
      <c r="H31" s="155">
        <f>IF($B31=" ","",IFERROR(INDEX(MMWR_RATING_RO_ROLLUP[],MATCH($B31,MMWR_RATING_RO_ROLLUP[MMWR_RATING_RO_ROLLUP],0),MATCH(H$9,MMWR_RATING_RO_ROLLUP[#Headers],0)),"ERROR"))</f>
        <v>136.39788164859999</v>
      </c>
      <c r="I31" s="155">
        <f>IF($B31=" ","",IFERROR(INDEX(MMWR_RATING_RO_ROLLUP[],MATCH($B31,MMWR_RATING_RO_ROLLUP[MMWR_RATING_RO_ROLLUP],0),MATCH(I$9,MMWR_RATING_RO_ROLLUP[#Headers],0)),"ERROR"))</f>
        <v>143.256462325</v>
      </c>
      <c r="J31" s="42"/>
      <c r="K31" s="42"/>
      <c r="L31" s="42"/>
      <c r="M31" s="42"/>
      <c r="N31" s="28"/>
    </row>
    <row r="32" spans="1:14" x14ac:dyDescent="0.2">
      <c r="A32" s="25"/>
      <c r="B32" s="342" t="s">
        <v>732</v>
      </c>
      <c r="C32" s="343"/>
      <c r="D32" s="343"/>
      <c r="E32" s="343"/>
      <c r="F32" s="343"/>
      <c r="G32" s="343"/>
      <c r="H32" s="343"/>
      <c r="I32" s="343"/>
      <c r="J32" s="343"/>
      <c r="K32" s="343"/>
      <c r="L32" s="343"/>
      <c r="M32" s="393"/>
      <c r="N32" s="28"/>
    </row>
    <row r="33" spans="1:14" x14ac:dyDescent="0.2">
      <c r="A33" s="25"/>
      <c r="B33" s="11" t="s">
        <v>695</v>
      </c>
      <c r="C33" s="154">
        <f>IF($B33=" ","",IFERROR(INDEX(MMWR_RATING_RO_ROLLUP[],MATCH($B33,MMWR_RATING_RO_ROLLUP[MMWR_RATING_RO_ROLLUP],0),MATCH(C$9,MMWR_RATING_RO_ROLLUP[#Headers],0)),"ERROR"))</f>
        <v>27152</v>
      </c>
      <c r="D33" s="155">
        <f>IF($B33=" ","",IFERROR(INDEX(MMWR_RATING_RO_ROLLUP[],MATCH($B33,MMWR_RATING_RO_ROLLUP[MMWR_RATING_RO_ROLLUP],0),MATCH(D$9,MMWR_RATING_RO_ROLLUP[#Headers],0)),"ERROR"))</f>
        <v>69.265652622299996</v>
      </c>
      <c r="E33" s="156">
        <f>IF($B33=" ","",IFERROR(INDEX(MMWR_RATING_RO_ROLLUP[],MATCH($B33,MMWR_RATING_RO_ROLLUP[MMWR_RATING_RO_ROLLUP],0),MATCH(E$9,MMWR_RATING_RO_ROLLUP[#Headers],0))/$C33,"ERROR"))</f>
        <v>0.12116971125515616</v>
      </c>
      <c r="F33" s="154">
        <f>IF($B33=" ","",IFERROR(INDEX(MMWR_RATING_RO_ROLLUP[],MATCH($B33,MMWR_RATING_RO_ROLLUP[MMWR_RATING_RO_ROLLUP],0),MATCH(F$9,MMWR_RATING_RO_ROLLUP[#Headers],0)),"ERROR"))</f>
        <v>12875</v>
      </c>
      <c r="G33" s="154">
        <f>IF($B33=" ","",IFERROR(INDEX(MMWR_RATING_RO_ROLLUP[],MATCH($B33,MMWR_RATING_RO_ROLLUP[MMWR_RATING_RO_ROLLUP],0),MATCH(G$9,MMWR_RATING_RO_ROLLUP[#Headers],0)),"ERROR"))</f>
        <v>122274</v>
      </c>
      <c r="H33" s="155">
        <f>IF($B33=" ","",IFERROR(INDEX(MMWR_RATING_RO_ROLLUP[],MATCH($B33,MMWR_RATING_RO_ROLLUP[MMWR_RATING_RO_ROLLUP],0),MATCH(H$9,MMWR_RATING_RO_ROLLUP[#Headers],0)),"ERROR"))</f>
        <v>85.970873786400006</v>
      </c>
      <c r="I33" s="155">
        <f>IF($B33=" ","",IFERROR(INDEX(MMWR_RATING_RO_ROLLUP[],MATCH($B33,MMWR_RATING_RO_ROLLUP[MMWR_RATING_RO_ROLLUP],0),MATCH(I$9,MMWR_RATING_RO_ROLLUP[#Headers],0)),"ERROR"))</f>
        <v>79.107406316999999</v>
      </c>
      <c r="J33" s="42"/>
      <c r="K33" s="42"/>
      <c r="L33" s="42"/>
      <c r="M33" s="42"/>
      <c r="N33" s="28"/>
    </row>
    <row r="34" spans="1:14" x14ac:dyDescent="0.2">
      <c r="A34" s="25"/>
      <c r="B34" s="12" t="s">
        <v>210</v>
      </c>
      <c r="C34" s="154">
        <f>IF($B34=" ","",IFERROR(INDEX(MMWR_RATING_RO_ROLLUP[],MATCH($B34,MMWR_RATING_RO_ROLLUP[MMWR_RATING_RO_ROLLUP],0),MATCH(C$9,MMWR_RATING_RO_ROLLUP[#Headers],0)),"ERROR"))</f>
        <v>12535</v>
      </c>
      <c r="D34" s="155">
        <f>IF($B34=" ","",IFERROR(INDEX(MMWR_RATING_RO_ROLLUP[],MATCH($B34,MMWR_RATING_RO_ROLLUP[MMWR_RATING_RO_ROLLUP],0),MATCH(D$9,MMWR_RATING_RO_ROLLUP[#Headers],0)),"ERROR"))</f>
        <v>67.914240127599996</v>
      </c>
      <c r="E34" s="156">
        <f>IF($B34=" ","",IFERROR(INDEX(MMWR_RATING_RO_ROLLUP[],MATCH($B34,MMWR_RATING_RO_ROLLUP[MMWR_RATING_RO_ROLLUP],0),MATCH(E$9,MMWR_RATING_RO_ROLLUP[#Headers],0))/$C34,"ERROR"))</f>
        <v>0.12716394096529718</v>
      </c>
      <c r="F34" s="154">
        <f>IF($B34=" ","",IFERROR(INDEX(MMWR_RATING_RO_ROLLUP[],MATCH($B34,MMWR_RATING_RO_ROLLUP[MMWR_RATING_RO_ROLLUP],0),MATCH(F$9,MMWR_RATING_RO_ROLLUP[#Headers],0)),"ERROR"))</f>
        <v>5299</v>
      </c>
      <c r="G34" s="154">
        <f>IF($B34=" ","",IFERROR(INDEX(MMWR_RATING_RO_ROLLUP[],MATCH($B34,MMWR_RATING_RO_ROLLUP[MMWR_RATING_RO_ROLLUP],0),MATCH(G$9,MMWR_RATING_RO_ROLLUP[#Headers],0)),"ERROR"))</f>
        <v>40605</v>
      </c>
      <c r="H34" s="155">
        <f>IF($B34=" ","",IFERROR(INDEX(MMWR_RATING_RO_ROLLUP[],MATCH($B34,MMWR_RATING_RO_ROLLUP[MMWR_RATING_RO_ROLLUP],0),MATCH(H$9,MMWR_RATING_RO_ROLLUP[#Headers],0)),"ERROR"))</f>
        <v>103.013964899</v>
      </c>
      <c r="I34" s="155">
        <f>IF($B34=" ","",IFERROR(INDEX(MMWR_RATING_RO_ROLLUP[],MATCH($B34,MMWR_RATING_RO_ROLLUP[MMWR_RATING_RO_ROLLUP],0),MATCH(I$9,MMWR_RATING_RO_ROLLUP[#Headers],0)),"ERROR"))</f>
        <v>99.173377662799993</v>
      </c>
      <c r="J34" s="42"/>
      <c r="K34" s="42"/>
      <c r="L34" s="42"/>
      <c r="M34" s="42"/>
      <c r="N34" s="28"/>
    </row>
    <row r="35" spans="1:14" x14ac:dyDescent="0.2">
      <c r="A35" s="43"/>
      <c r="B35" s="12" t="s">
        <v>209</v>
      </c>
      <c r="C35" s="154">
        <f>IF($B35=" ","",IFERROR(INDEX(MMWR_RATING_RO_ROLLUP[],MATCH($B35,MMWR_RATING_RO_ROLLUP[MMWR_RATING_RO_ROLLUP],0),MATCH(C$9,MMWR_RATING_RO_ROLLUP[#Headers],0)),"ERROR"))</f>
        <v>5839</v>
      </c>
      <c r="D35" s="155">
        <f>IF($B35=" ","",IFERROR(INDEX(MMWR_RATING_RO_ROLLUP[],MATCH($B35,MMWR_RATING_RO_ROLLUP[MMWR_RATING_RO_ROLLUP],0),MATCH(D$9,MMWR_RATING_RO_ROLLUP[#Headers],0)),"ERROR"))</f>
        <v>67.615516355500006</v>
      </c>
      <c r="E35" s="156">
        <f>IF($B35=" ","",IFERROR(INDEX(MMWR_RATING_RO_ROLLUP[],MATCH($B35,MMWR_RATING_RO_ROLLUP[MMWR_RATING_RO_ROLLUP],0),MATCH(E$9,MMWR_RATING_RO_ROLLUP[#Headers],0))/$C35,"ERROR"))</f>
        <v>0.12176742592909745</v>
      </c>
      <c r="F35" s="154">
        <f>IF($B35=" ","",IFERROR(INDEX(MMWR_RATING_RO_ROLLUP[],MATCH($B35,MMWR_RATING_RO_ROLLUP[MMWR_RATING_RO_ROLLUP],0),MATCH(F$9,MMWR_RATING_RO_ROLLUP[#Headers],0)),"ERROR"))</f>
        <v>3056</v>
      </c>
      <c r="G35" s="154">
        <f>IF($B35=" ","",IFERROR(INDEX(MMWR_RATING_RO_ROLLUP[],MATCH($B35,MMWR_RATING_RO_ROLLUP[MMWR_RATING_RO_ROLLUP],0),MATCH(G$9,MMWR_RATING_RO_ROLLUP[#Headers],0)),"ERROR"))</f>
        <v>34158</v>
      </c>
      <c r="H35" s="155">
        <f>IF($B35=" ","",IFERROR(INDEX(MMWR_RATING_RO_ROLLUP[],MATCH($B35,MMWR_RATING_RO_ROLLUP[MMWR_RATING_RO_ROLLUP],0),MATCH(H$9,MMWR_RATING_RO_ROLLUP[#Headers],0)),"ERROR"))</f>
        <v>72.184554973800005</v>
      </c>
      <c r="I35" s="155">
        <f>IF($B35=" ","",IFERROR(INDEX(MMWR_RATING_RO_ROLLUP[],MATCH($B35,MMWR_RATING_RO_ROLLUP[MMWR_RATING_RO_ROLLUP],0),MATCH(I$9,MMWR_RATING_RO_ROLLUP[#Headers],0)),"ERROR"))</f>
        <v>70.844897242200005</v>
      </c>
      <c r="J35" s="42"/>
      <c r="K35" s="42"/>
      <c r="L35" s="42"/>
      <c r="M35" s="42"/>
      <c r="N35" s="28"/>
    </row>
    <row r="36" spans="1:14" x14ac:dyDescent="0.2">
      <c r="A36" s="25"/>
      <c r="B36" s="12" t="s">
        <v>212</v>
      </c>
      <c r="C36" s="154">
        <f>IF($B36=" ","",IFERROR(INDEX(MMWR_RATING_RO_ROLLUP[],MATCH($B36,MMWR_RATING_RO_ROLLUP[MMWR_RATING_RO_ROLLUP],0),MATCH(C$9,MMWR_RATING_RO_ROLLUP[#Headers],0)),"ERROR"))</f>
        <v>7929</v>
      </c>
      <c r="D36" s="155">
        <f>IF($B36=" ","",IFERROR(INDEX(MMWR_RATING_RO_ROLLUP[],MATCH($B36,MMWR_RATING_RO_ROLLUP[MMWR_RATING_RO_ROLLUP],0),MATCH(D$9,MMWR_RATING_RO_ROLLUP[#Headers],0)),"ERROR"))</f>
        <v>60.572455542900002</v>
      </c>
      <c r="E36" s="156">
        <f>IF($B36=" ","",IFERROR(INDEX(MMWR_RATING_RO_ROLLUP[],MATCH($B36,MMWR_RATING_RO_ROLLUP[MMWR_RATING_RO_ROLLUP],0),MATCH(E$9,MMWR_RATING_RO_ROLLUP[#Headers],0))/$C36,"ERROR"))</f>
        <v>7.226636398032539E-2</v>
      </c>
      <c r="F36" s="154">
        <f>IF($B36=" ","",IFERROR(INDEX(MMWR_RATING_RO_ROLLUP[],MATCH($B36,MMWR_RATING_RO_ROLLUP[MMWR_RATING_RO_ROLLUP],0),MATCH(F$9,MMWR_RATING_RO_ROLLUP[#Headers],0)),"ERROR"))</f>
        <v>4062</v>
      </c>
      <c r="G36" s="154">
        <f>IF($B36=" ","",IFERROR(INDEX(MMWR_RATING_RO_ROLLUP[],MATCH($B36,MMWR_RATING_RO_ROLLUP[MMWR_RATING_RO_ROLLUP],0),MATCH(G$9,MMWR_RATING_RO_ROLLUP[#Headers],0)),"ERROR"))</f>
        <v>43033</v>
      </c>
      <c r="H36" s="155">
        <f>IF($B36=" ","",IFERROR(INDEX(MMWR_RATING_RO_ROLLUP[],MATCH($B36,MMWR_RATING_RO_ROLLUP[MMWR_RATING_RO_ROLLUP],0),MATCH(H$9,MMWR_RATING_RO_ROLLUP[#Headers],0)),"ERROR"))</f>
        <v>73.270556376200005</v>
      </c>
      <c r="I36" s="155">
        <f>IF($B36=" ","",IFERROR(INDEX(MMWR_RATING_RO_ROLLUP[],MATCH($B36,MMWR_RATING_RO_ROLLUP[MMWR_RATING_RO_ROLLUP],0),MATCH(I$9,MMWR_RATING_RO_ROLLUP[#Headers],0)),"ERROR"))</f>
        <v>68.330885599400006</v>
      </c>
      <c r="J36" s="42"/>
      <c r="K36" s="42"/>
      <c r="L36" s="42"/>
      <c r="M36" s="42"/>
      <c r="N36" s="28"/>
    </row>
    <row r="37" spans="1:14" x14ac:dyDescent="0.2">
      <c r="A37" s="25"/>
      <c r="B37" s="13" t="s">
        <v>224</v>
      </c>
      <c r="C37" s="154">
        <f>IF($B37=" ","",IFERROR(INDEX(MMWR_RATING_RO_ROLLUP[],MATCH($B37,MMWR_RATING_RO_ROLLUP[MMWR_RATING_RO_ROLLUP],0),MATCH(C$9,MMWR_RATING_RO_ROLLUP[#Headers],0)),"ERROR"))</f>
        <v>849</v>
      </c>
      <c r="D37" s="155">
        <f>IF($B37=" ","",IFERROR(INDEX(MMWR_RATING_RO_ROLLUP[],MATCH($B37,MMWR_RATING_RO_ROLLUP[MMWR_RATING_RO_ROLLUP],0),MATCH(D$9,MMWR_RATING_RO_ROLLUP[#Headers],0)),"ERROR"))</f>
        <v>181.75500588930001</v>
      </c>
      <c r="E37" s="156">
        <f>IF($B37=" ","",IFERROR(INDEX(MMWR_RATING_RO_ROLLUP[],MATCH($B37,MMWR_RATING_RO_ROLLUP[MMWR_RATING_RO_ROLLUP],0),MATCH(E$9,MMWR_RATING_RO_ROLLUP[#Headers],0))/$C37,"ERROR"))</f>
        <v>0.48527679623085984</v>
      </c>
      <c r="F37" s="154">
        <f>IF($B37=" ","",IFERROR(INDEX(MMWR_RATING_RO_ROLLUP[],MATCH($B37,MMWR_RATING_RO_ROLLUP[MMWR_RATING_RO_ROLLUP],0),MATCH(F$9,MMWR_RATING_RO_ROLLUP[#Headers],0)),"ERROR"))</f>
        <v>458</v>
      </c>
      <c r="G37" s="154">
        <f>IF($B37=" ","",IFERROR(INDEX(MMWR_RATING_RO_ROLLUP[],MATCH($B37,MMWR_RATING_RO_ROLLUP[MMWR_RATING_RO_ROLLUP],0),MATCH(G$9,MMWR_RATING_RO_ROLLUP[#Headers],0)),"ERROR"))</f>
        <v>4478</v>
      </c>
      <c r="H37" s="155">
        <f>IF($B37=" ","",IFERROR(INDEX(MMWR_RATING_RO_ROLLUP[],MATCH($B37,MMWR_RATING_RO_ROLLUP[MMWR_RATING_RO_ROLLUP],0),MATCH(H$9,MMWR_RATING_RO_ROLLUP[#Headers],0)),"ERROR"))</f>
        <v>93.412663755500006</v>
      </c>
      <c r="I37" s="155">
        <f>IF($B37=" ","",IFERROR(INDEX(MMWR_RATING_RO_ROLLUP[],MATCH($B37,MMWR_RATING_RO_ROLLUP[MMWR_RATING_RO_ROLLUP],0),MATCH(I$9,MMWR_RATING_RO_ROLLUP[#Headers],0)),"ERROR"))</f>
        <v>63.742965609599999</v>
      </c>
      <c r="J37" s="42"/>
      <c r="K37" s="42"/>
      <c r="L37" s="42"/>
      <c r="M37" s="42"/>
      <c r="N37" s="28"/>
    </row>
    <row r="38" spans="1:14" x14ac:dyDescent="0.2">
      <c r="A38" s="25"/>
      <c r="B38" s="342" t="s">
        <v>915</v>
      </c>
      <c r="C38" s="343"/>
      <c r="D38" s="343"/>
      <c r="E38" s="343"/>
      <c r="F38" s="343"/>
      <c r="G38" s="343"/>
      <c r="H38" s="343"/>
      <c r="I38" s="343"/>
      <c r="J38" s="343"/>
      <c r="K38" s="343"/>
      <c r="L38" s="343"/>
      <c r="M38" s="393"/>
      <c r="N38" s="28"/>
    </row>
    <row r="39" spans="1:14" x14ac:dyDescent="0.2">
      <c r="A39" s="25"/>
      <c r="B39" s="44" t="s">
        <v>696</v>
      </c>
      <c r="C39" s="154">
        <f>IF($B39=" ","",IFERROR(INDEX(MMWR_RATING_RO_ROLLUP[],MATCH($B39,MMWR_RATING_RO_ROLLUP[MMWR_RATING_RO_ROLLUP],0),MATCH(C$9,MMWR_RATING_RO_ROLLUP[#Headers],0)),"ERROR"))</f>
        <v>7335</v>
      </c>
      <c r="D39" s="155">
        <f>IF($B39=" ","",IFERROR(INDEX(MMWR_RATING_RO_ROLLUP[],MATCH($B39,MMWR_RATING_RO_ROLLUP[MMWR_RATING_RO_ROLLUP],0),MATCH(D$9,MMWR_RATING_RO_ROLLUP[#Headers],0)),"ERROR"))</f>
        <v>70.155555555600003</v>
      </c>
      <c r="E39" s="156">
        <f>IF($B39=" ","",IFERROR(INDEX(MMWR_RATING_RO_ROLLUP[],MATCH($B39,MMWR_RATING_RO_ROLLUP[MMWR_RATING_RO_ROLLUP],0),MATCH(E$9,MMWR_RATING_RO_ROLLUP[#Headers],0))/$C39,"ERROR"))</f>
        <v>0.12256305385139742</v>
      </c>
      <c r="F39" s="154">
        <f>IF($B39=" ","",IFERROR(INDEX(MMWR_RATING_RO_ROLLUP[],MATCH($B39,MMWR_RATING_RO_ROLLUP[MMWR_RATING_RO_ROLLUP],0),MATCH(F$9,MMWR_RATING_RO_ROLLUP[#Headers],0)),"ERROR"))</f>
        <v>2133</v>
      </c>
      <c r="G39" s="154">
        <f>IF($B39=" ","",IFERROR(INDEX(MMWR_RATING_RO_ROLLUP[],MATCH($B39,MMWR_RATING_RO_ROLLUP[MMWR_RATING_RO_ROLLUP],0),MATCH(G$9,MMWR_RATING_RO_ROLLUP[#Headers],0)),"ERROR"))</f>
        <v>21355</v>
      </c>
      <c r="H39" s="155">
        <f>IF($B39=" ","",IFERROR(INDEX(MMWR_RATING_RO_ROLLUP[],MATCH($B39,MMWR_RATING_RO_ROLLUP[MMWR_RATING_RO_ROLLUP],0),MATCH(H$9,MMWR_RATING_RO_ROLLUP[#Headers],0)),"ERROR"))</f>
        <v>116.4571026723</v>
      </c>
      <c r="I39" s="155">
        <f>IF($B39=" ","",IFERROR(INDEX(MMWR_RATING_RO_ROLLUP[],MATCH($B39,MMWR_RATING_RO_ROLLUP[MMWR_RATING_RO_ROLLUP],0),MATCH(I$9,MMWR_RATING_RO_ROLLUP[#Headers],0)),"ERROR"))</f>
        <v>137.91266682279999</v>
      </c>
      <c r="J39" s="42"/>
      <c r="K39" s="42"/>
      <c r="L39" s="42"/>
      <c r="M39" s="42"/>
      <c r="N39" s="28"/>
    </row>
    <row r="40" spans="1:14" x14ac:dyDescent="0.2">
      <c r="A40" s="25"/>
      <c r="B40" s="53" t="s">
        <v>955</v>
      </c>
      <c r="C40" s="154">
        <f>IF($B40=" ","",IFERROR(INDEX(MMWR_RATING_RO_ROLLUP[],MATCH($B40,MMWR_RATING_RO_ROLLUP[MMWR_RATING_RO_ROLLUP],0),MATCH(C$9,MMWR_RATING_RO_ROLLUP[#Headers],0)),"ERROR"))</f>
        <v>1313</v>
      </c>
      <c r="D40" s="155">
        <f>IF($B40=" ","",IFERROR(INDEX(MMWR_RATING_RO_ROLLUP[],MATCH($B40,MMWR_RATING_RO_ROLLUP[MMWR_RATING_RO_ROLLUP],0),MATCH(D$9,MMWR_RATING_RO_ROLLUP[#Headers],0)),"ERROR"))</f>
        <v>61.639756283300002</v>
      </c>
      <c r="E40" s="156">
        <f>IF($B40=" ","",IFERROR(INDEX(MMWR_RATING_RO_ROLLUP[],MATCH($B40,MMWR_RATING_RO_ROLLUP[MMWR_RATING_RO_ROLLUP],0),MATCH(E$9,MMWR_RATING_RO_ROLLUP[#Headers],0))/$C40,"ERROR"))</f>
        <v>9.6725057121096719E-2</v>
      </c>
      <c r="F40" s="154">
        <f>IF($B40=" ","",IFERROR(INDEX(MMWR_RATING_RO_ROLLUP[],MATCH($B40,MMWR_RATING_RO_ROLLUP[MMWR_RATING_RO_ROLLUP],0),MATCH(F$9,MMWR_RATING_RO_ROLLUP[#Headers],0)),"ERROR"))</f>
        <v>294</v>
      </c>
      <c r="G40" s="154">
        <f>IF($B40=" ","",IFERROR(INDEX(MMWR_RATING_RO_ROLLUP[],MATCH($B40,MMWR_RATING_RO_ROLLUP[MMWR_RATING_RO_ROLLUP],0),MATCH(G$9,MMWR_RATING_RO_ROLLUP[#Headers],0)),"ERROR"))</f>
        <v>3919</v>
      </c>
      <c r="H40" s="155">
        <f>IF($B40=" ","",IFERROR(INDEX(MMWR_RATING_RO_ROLLUP[],MATCH($B40,MMWR_RATING_RO_ROLLUP[MMWR_RATING_RO_ROLLUP],0),MATCH(H$9,MMWR_RATING_RO_ROLLUP[#Headers],0)),"ERROR"))</f>
        <v>106.1632653061</v>
      </c>
      <c r="I40" s="155">
        <f>IF($B40=" ","",IFERROR(INDEX(MMWR_RATING_RO_ROLLUP[],MATCH($B40,MMWR_RATING_RO_ROLLUP[MMWR_RATING_RO_ROLLUP],0),MATCH(I$9,MMWR_RATING_RO_ROLLUP[#Headers],0)),"ERROR"))</f>
        <v>123.8555754019</v>
      </c>
      <c r="J40" s="42"/>
      <c r="K40" s="42"/>
      <c r="L40" s="42"/>
      <c r="M40" s="42"/>
      <c r="N40" s="28"/>
    </row>
    <row r="41" spans="1:14" x14ac:dyDescent="0.2">
      <c r="A41" s="25"/>
      <c r="B41" s="53" t="s">
        <v>956</v>
      </c>
      <c r="C41" s="154">
        <f>IF($B41=" ","",IFERROR(INDEX(MMWR_RATING_RO_ROLLUP[],MATCH($B41,MMWR_RATING_RO_ROLLUP[MMWR_RATING_RO_ROLLUP],0),MATCH(C$9,MMWR_RATING_RO_ROLLUP[#Headers],0)),"ERROR"))</f>
        <v>1115</v>
      </c>
      <c r="D41" s="155">
        <f>IF($B41=" ","",IFERROR(INDEX(MMWR_RATING_RO_ROLLUP[],MATCH($B41,MMWR_RATING_RO_ROLLUP[MMWR_RATING_RO_ROLLUP],0),MATCH(D$9,MMWR_RATING_RO_ROLLUP[#Headers],0)),"ERROR"))</f>
        <v>66.357847533599994</v>
      </c>
      <c r="E41" s="156">
        <f>IF($B41=" ","",IFERROR(INDEX(MMWR_RATING_RO_ROLLUP[],MATCH($B41,MMWR_RATING_RO_ROLLUP[MMWR_RATING_RO_ROLLUP],0),MATCH(E$9,MMWR_RATING_RO_ROLLUP[#Headers],0))/$C41,"ERROR"))</f>
        <v>0.10852017937219731</v>
      </c>
      <c r="F41" s="154">
        <f>IF($B41=" ","",IFERROR(INDEX(MMWR_RATING_RO_ROLLUP[],MATCH($B41,MMWR_RATING_RO_ROLLUP[MMWR_RATING_RO_ROLLUP],0),MATCH(F$9,MMWR_RATING_RO_ROLLUP[#Headers],0)),"ERROR"))</f>
        <v>302</v>
      </c>
      <c r="G41" s="154">
        <f>IF($B41=" ","",IFERROR(INDEX(MMWR_RATING_RO_ROLLUP[],MATCH($B41,MMWR_RATING_RO_ROLLUP[MMWR_RATING_RO_ROLLUP],0),MATCH(G$9,MMWR_RATING_RO_ROLLUP[#Headers],0)),"ERROR"))</f>
        <v>3376</v>
      </c>
      <c r="H41" s="155">
        <f>IF($B41=" ","",IFERROR(INDEX(MMWR_RATING_RO_ROLLUP[],MATCH($B41,MMWR_RATING_RO_ROLLUP[MMWR_RATING_RO_ROLLUP],0),MATCH(H$9,MMWR_RATING_RO_ROLLUP[#Headers],0)),"ERROR"))</f>
        <v>117.04304635760001</v>
      </c>
      <c r="I41" s="155">
        <f>IF($B41=" ","",IFERROR(INDEX(MMWR_RATING_RO_ROLLUP[],MATCH($B41,MMWR_RATING_RO_ROLLUP[MMWR_RATING_RO_ROLLUP],0),MATCH(I$9,MMWR_RATING_RO_ROLLUP[#Headers],0)),"ERROR"))</f>
        <v>149.18809241709999</v>
      </c>
      <c r="J41" s="42"/>
      <c r="K41" s="42"/>
      <c r="L41" s="42"/>
      <c r="M41" s="42"/>
      <c r="N41" s="28"/>
    </row>
    <row r="42" spans="1:14" x14ac:dyDescent="0.2">
      <c r="A42" s="25"/>
      <c r="B42" s="46" t="s">
        <v>307</v>
      </c>
      <c r="C42" s="154">
        <f>IF($B42=" ","",IFERROR(INDEX(MMWR_RATING_RO_ROLLUP[],MATCH($B42,MMWR_RATING_RO_ROLLUP[MMWR_RATING_RO_ROLLUP],0),MATCH(C$9,MMWR_RATING_RO_ROLLUP[#Headers],0)),"ERROR"))</f>
        <v>4907</v>
      </c>
      <c r="D42" s="155">
        <f>IF($B42=" ","",IFERROR(INDEX(MMWR_RATING_RO_ROLLUP[],MATCH($B42,MMWR_RATING_RO_ROLLUP[MMWR_RATING_RO_ROLLUP],0),MATCH(D$9,MMWR_RATING_RO_ROLLUP[#Headers],0)),"ERROR"))</f>
        <v>73.2971265539</v>
      </c>
      <c r="E42" s="156">
        <f>IF($B42=" ","",IFERROR(INDEX(MMWR_RATING_RO_ROLLUP[],MATCH($B42,MMWR_RATING_RO_ROLLUP[MMWR_RATING_RO_ROLLUP],0),MATCH(E$9,MMWR_RATING_RO_ROLLUP[#Headers],0))/$C42,"ERROR"))</f>
        <v>0.13266761768901569</v>
      </c>
      <c r="F42" s="154">
        <f>IF($B42=" ","",IFERROR(INDEX(MMWR_RATING_RO_ROLLUP[],MATCH($B42,MMWR_RATING_RO_ROLLUP[MMWR_RATING_RO_ROLLUP],0),MATCH(F$9,MMWR_RATING_RO_ROLLUP[#Headers],0)),"ERROR"))</f>
        <v>1537</v>
      </c>
      <c r="G42" s="154">
        <f>IF($B42=" ","",IFERROR(INDEX(MMWR_RATING_RO_ROLLUP[],MATCH($B42,MMWR_RATING_RO_ROLLUP[MMWR_RATING_RO_ROLLUP],0),MATCH(G$9,MMWR_RATING_RO_ROLLUP[#Headers],0)),"ERROR"))</f>
        <v>14060</v>
      </c>
      <c r="H42" s="155">
        <f>IF($B42=" ","",IFERROR(INDEX(MMWR_RATING_RO_ROLLUP[],MATCH($B42,MMWR_RATING_RO_ROLLUP[MMWR_RATING_RO_ROLLUP],0),MATCH(H$9,MMWR_RATING_RO_ROLLUP[#Headers],0)),"ERROR"))</f>
        <v>118.3109954457</v>
      </c>
      <c r="I42" s="155">
        <f>IF($B42=" ","",IFERROR(INDEX(MMWR_RATING_RO_ROLLUP[],MATCH($B42,MMWR_RATING_RO_ROLLUP[MMWR_RATING_RO_ROLLUP],0),MATCH(I$9,MMWR_RATING_RO_ROLLUP[#Headers],0)),"ERROR"))</f>
        <v>139.12347083930001</v>
      </c>
      <c r="J42" s="42"/>
      <c r="K42" s="42"/>
      <c r="L42" s="42"/>
      <c r="M42" s="42"/>
      <c r="N42" s="28"/>
    </row>
    <row r="43" spans="1:14" x14ac:dyDescent="0.2">
      <c r="A43" s="25"/>
      <c r="B43" s="342" t="s">
        <v>733</v>
      </c>
      <c r="C43" s="343"/>
      <c r="D43" s="343"/>
      <c r="E43" s="343"/>
      <c r="F43" s="343"/>
      <c r="G43" s="343"/>
      <c r="H43" s="343"/>
      <c r="I43" s="343"/>
      <c r="J43" s="343"/>
      <c r="K43" s="343"/>
      <c r="L43" s="343"/>
      <c r="M43" s="393"/>
      <c r="N43" s="28"/>
    </row>
    <row r="44" spans="1:14" x14ac:dyDescent="0.2">
      <c r="A44" s="25"/>
      <c r="B44" s="44" t="s">
        <v>694</v>
      </c>
      <c r="C44" s="154">
        <f>IF($B44=" ","",IFERROR(INDEX(MMWR_RATING_RO_ROLLUP[],MATCH($B44,MMWR_RATING_RO_ROLLUP[MMWR_RATING_RO_ROLLUP],0),MATCH(C$9,MMWR_RATING_RO_ROLLUP[#Headers],0)),"ERROR"))</f>
        <v>7311</v>
      </c>
      <c r="D44" s="155">
        <f>IF($B44=" ","",IFERROR(INDEX(MMWR_RATING_RO_ROLLUP[],MATCH($B44,MMWR_RATING_RO_ROLLUP[MMWR_RATING_RO_ROLLUP],0),MATCH(D$9,MMWR_RATING_RO_ROLLUP[#Headers],0)),"ERROR"))</f>
        <v>68.699357133099994</v>
      </c>
      <c r="E44" s="156">
        <f>IF($B44=" ","",IFERROR(INDEX(MMWR_RATING_RO_ROLLUP[],MATCH($B44,MMWR_RATING_RO_ROLLUP[MMWR_RATING_RO_ROLLUP],0),MATCH(E$9,MMWR_RATING_RO_ROLLUP[#Headers],0))/$C44,"ERROR"))</f>
        <v>0.11120229790726303</v>
      </c>
      <c r="F44" s="154">
        <f>IF($B44=" ","",IFERROR(INDEX(MMWR_RATING_RO_ROLLUP[],MATCH($B44,MMWR_RATING_RO_ROLLUP[MMWR_RATING_RO_ROLLUP],0),MATCH(F$9,MMWR_RATING_RO_ROLLUP[#Headers],0)),"ERROR"))</f>
        <v>2031</v>
      </c>
      <c r="G44" s="154">
        <f>IF($B44=" ","",IFERROR(INDEX(MMWR_RATING_RO_ROLLUP[],MATCH($B44,MMWR_RATING_RO_ROLLUP[MMWR_RATING_RO_ROLLUP],0),MATCH(G$9,MMWR_RATING_RO_ROLLUP[#Headers],0)),"ERROR"))</f>
        <v>24276</v>
      </c>
      <c r="H44" s="155">
        <f>IF($B44=" ","",IFERROR(INDEX(MMWR_RATING_RO_ROLLUP[],MATCH($B44,MMWR_RATING_RO_ROLLUP[MMWR_RATING_RO_ROLLUP],0),MATCH(H$9,MMWR_RATING_RO_ROLLUP[#Headers],0)),"ERROR"))</f>
        <v>117.06302314129999</v>
      </c>
      <c r="I44" s="155">
        <f>IF($B44=" ","",IFERROR(INDEX(MMWR_RATING_RO_ROLLUP[],MATCH($B44,MMWR_RATING_RO_ROLLUP[MMWR_RATING_RO_ROLLUP],0),MATCH(I$9,MMWR_RATING_RO_ROLLUP[#Headers],0)),"ERROR"))</f>
        <v>131.1221782831</v>
      </c>
      <c r="J44" s="42"/>
      <c r="K44" s="42"/>
      <c r="L44" s="42"/>
      <c r="M44" s="42"/>
      <c r="N44" s="28"/>
    </row>
    <row r="45" spans="1:14" x14ac:dyDescent="0.2">
      <c r="A45" s="25"/>
      <c r="B45" s="45" t="s">
        <v>211</v>
      </c>
      <c r="C45" s="154">
        <f>IF($B45=" ","",IFERROR(INDEX(MMWR_RATING_RO_ROLLUP[],MATCH($B45,MMWR_RATING_RO_ROLLUP[MMWR_RATING_RO_ROLLUP],0),MATCH(C$9,MMWR_RATING_RO_ROLLUP[#Headers],0)),"ERROR"))</f>
        <v>46</v>
      </c>
      <c r="D45" s="155">
        <f>IF($B45=" ","",IFERROR(INDEX(MMWR_RATING_RO_ROLLUP[],MATCH($B45,MMWR_RATING_RO_ROLLUP[MMWR_RATING_RO_ROLLUP],0),MATCH(D$9,MMWR_RATING_RO_ROLLUP[#Headers],0)),"ERROR"))</f>
        <v>74.108695652199998</v>
      </c>
      <c r="E45" s="156">
        <f>IF($B45=" ","",IFERROR(INDEX(MMWR_RATING_RO_ROLLUP[],MATCH($B45,MMWR_RATING_RO_ROLLUP[MMWR_RATING_RO_ROLLUP],0),MATCH(E$9,MMWR_RATING_RO_ROLLUP[#Headers],0))/$C45,"ERROR"))</f>
        <v>0.15217391304347827</v>
      </c>
      <c r="F45" s="154">
        <f>IF($B45=" ","",IFERROR(INDEX(MMWR_RATING_RO_ROLLUP[],MATCH($B45,MMWR_RATING_RO_ROLLUP[MMWR_RATING_RO_ROLLUP],0),MATCH(F$9,MMWR_RATING_RO_ROLLUP[#Headers],0)),"ERROR"))</f>
        <v>16</v>
      </c>
      <c r="G45" s="154">
        <f>IF($B45=" ","",IFERROR(INDEX(MMWR_RATING_RO_ROLLUP[],MATCH($B45,MMWR_RATING_RO_ROLLUP[MMWR_RATING_RO_ROLLUP],0),MATCH(G$9,MMWR_RATING_RO_ROLLUP[#Headers],0)),"ERROR"))</f>
        <v>185</v>
      </c>
      <c r="H45" s="155">
        <f>IF($B45=" ","",IFERROR(INDEX(MMWR_RATING_RO_ROLLUP[],MATCH($B45,MMWR_RATING_RO_ROLLUP[MMWR_RATING_RO_ROLLUP],0),MATCH(H$9,MMWR_RATING_RO_ROLLUP[#Headers],0)),"ERROR"))</f>
        <v>129.4375</v>
      </c>
      <c r="I45" s="155">
        <f>IF($B45=" ","",IFERROR(INDEX(MMWR_RATING_RO_ROLLUP[],MATCH($B45,MMWR_RATING_RO_ROLLUP[MMWR_RATING_RO_ROLLUP],0),MATCH(I$9,MMWR_RATING_RO_ROLLUP[#Headers],0)),"ERROR"))</f>
        <v>129.6</v>
      </c>
      <c r="J45" s="42"/>
      <c r="K45" s="42"/>
      <c r="L45" s="42"/>
      <c r="M45" s="42"/>
      <c r="N45" s="28"/>
    </row>
    <row r="46" spans="1:14" x14ac:dyDescent="0.2">
      <c r="A46" s="25"/>
      <c r="B46" s="45" t="s">
        <v>213</v>
      </c>
      <c r="C46" s="154">
        <f>IF($B46=" ","",IFERROR(INDEX(MMWR_RATING_RO_ROLLUP[],MATCH($B46,MMWR_RATING_RO_ROLLUP[MMWR_RATING_RO_ROLLUP],0),MATCH(C$9,MMWR_RATING_RO_ROLLUP[#Headers],0)),"ERROR"))</f>
        <v>979</v>
      </c>
      <c r="D46" s="155">
        <f>IF($B46=" ","",IFERROR(INDEX(MMWR_RATING_RO_ROLLUP[],MATCH($B46,MMWR_RATING_RO_ROLLUP[MMWR_RATING_RO_ROLLUP],0),MATCH(D$9,MMWR_RATING_RO_ROLLUP[#Headers],0)),"ERROR"))</f>
        <v>63.093973442299998</v>
      </c>
      <c r="E46" s="156">
        <f>IF($B46=" ","",IFERROR(INDEX(MMWR_RATING_RO_ROLLUP[],MATCH($B46,MMWR_RATING_RO_ROLLUP[MMWR_RATING_RO_ROLLUP],0),MATCH(E$9,MMWR_RATING_RO_ROLLUP[#Headers],0))/$C46,"ERROR"))</f>
        <v>0.10214504596527069</v>
      </c>
      <c r="F46" s="154">
        <f>IF($B46=" ","",IFERROR(INDEX(MMWR_RATING_RO_ROLLUP[],MATCH($B46,MMWR_RATING_RO_ROLLUP[MMWR_RATING_RO_ROLLUP],0),MATCH(F$9,MMWR_RATING_RO_ROLLUP[#Headers],0)),"ERROR"))</f>
        <v>267</v>
      </c>
      <c r="G46" s="154">
        <f>IF($B46=" ","",IFERROR(INDEX(MMWR_RATING_RO_ROLLUP[],MATCH($B46,MMWR_RATING_RO_ROLLUP[MMWR_RATING_RO_ROLLUP],0),MATCH(G$9,MMWR_RATING_RO_ROLLUP[#Headers],0)),"ERROR"))</f>
        <v>3841</v>
      </c>
      <c r="H46" s="155">
        <f>IF($B46=" ","",IFERROR(INDEX(MMWR_RATING_RO_ROLLUP[],MATCH($B46,MMWR_RATING_RO_ROLLUP[MMWR_RATING_RO_ROLLUP],0),MATCH(H$9,MMWR_RATING_RO_ROLLUP[#Headers],0)),"ERROR"))</f>
        <v>122.3033707865</v>
      </c>
      <c r="I46" s="155">
        <f>IF($B46=" ","",IFERROR(INDEX(MMWR_RATING_RO_ROLLUP[],MATCH($B46,MMWR_RATING_RO_ROLLUP[MMWR_RATING_RO_ROLLUP],0),MATCH(I$9,MMWR_RATING_RO_ROLLUP[#Headers],0)),"ERROR"))</f>
        <v>142.24759177300001</v>
      </c>
      <c r="J46" s="42"/>
      <c r="K46" s="42"/>
      <c r="L46" s="42"/>
      <c r="M46" s="42"/>
      <c r="N46" s="28"/>
    </row>
    <row r="47" spans="1:14" x14ac:dyDescent="0.2">
      <c r="A47" s="25"/>
      <c r="B47" s="47" t="s">
        <v>308</v>
      </c>
      <c r="C47" s="154">
        <f>IF($B47=" ","",IFERROR(INDEX(MMWR_RATING_RO_ROLLUP[],MATCH($B47,MMWR_RATING_RO_ROLLUP[MMWR_RATING_RO_ROLLUP],0),MATCH(C$9,MMWR_RATING_RO_ROLLUP[#Headers],0)),"ERROR"))</f>
        <v>6286</v>
      </c>
      <c r="D47" s="155">
        <f>IF($B47=" ","",IFERROR(INDEX(MMWR_RATING_RO_ROLLUP[],MATCH($B47,MMWR_RATING_RO_ROLLUP[MMWR_RATING_RO_ROLLUP],0),MATCH(D$9,MMWR_RATING_RO_ROLLUP[#Headers],0)),"ERROR"))</f>
        <v>69.532771237700004</v>
      </c>
      <c r="E47" s="156">
        <f>IF($B47=" ","",IFERROR(INDEX(MMWR_RATING_RO_ROLLUP[],MATCH($B47,MMWR_RATING_RO_ROLLUP[MMWR_RATING_RO_ROLLUP],0),MATCH(E$9,MMWR_RATING_RO_ROLLUP[#Headers],0))/$C47,"ERROR"))</f>
        <v>0.1123130766783328</v>
      </c>
      <c r="F47" s="154">
        <f>IF($B47=" ","",IFERROR(INDEX(MMWR_RATING_RO_ROLLUP[],MATCH($B47,MMWR_RATING_RO_ROLLUP[MMWR_RATING_RO_ROLLUP],0),MATCH(F$9,MMWR_RATING_RO_ROLLUP[#Headers],0)),"ERROR"))</f>
        <v>1748</v>
      </c>
      <c r="G47" s="154">
        <f>IF($B47=" ","",IFERROR(INDEX(MMWR_RATING_RO_ROLLUP[],MATCH($B47,MMWR_RATING_RO_ROLLUP[MMWR_RATING_RO_ROLLUP],0),MATCH(G$9,MMWR_RATING_RO_ROLLUP[#Headers],0)),"ERROR"))</f>
        <v>20250</v>
      </c>
      <c r="H47" s="155">
        <f>IF($B47=" ","",IFERROR(INDEX(MMWR_RATING_RO_ROLLUP[],MATCH($B47,MMWR_RATING_RO_ROLLUP[MMWR_RATING_RO_ROLLUP],0),MATCH(H$9,MMWR_RATING_RO_ROLLUP[#Headers],0)),"ERROR"))</f>
        <v>116.1493135011</v>
      </c>
      <c r="I47" s="155">
        <f>IF($B47=" ","",IFERROR(INDEX(MMWR_RATING_RO_ROLLUP[],MATCH($B47,MMWR_RATING_RO_ROLLUP[MMWR_RATING_RO_ROLLUP],0),MATCH(I$9,MMWR_RATING_RO_ROLLUP[#Headers],0)),"ERROR"))</f>
        <v>129.0258271605</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976</v>
      </c>
      <c r="D2" s="357"/>
      <c r="E2" s="357"/>
      <c r="F2" s="357"/>
      <c r="G2" s="357"/>
      <c r="H2" s="357"/>
      <c r="I2" s="357"/>
      <c r="J2" s="356" t="s">
        <v>300</v>
      </c>
      <c r="K2" s="357"/>
      <c r="L2" s="357"/>
      <c r="M2" s="358"/>
      <c r="N2" s="28"/>
    </row>
    <row r="3" spans="1:15" ht="24" customHeight="1" thickBot="1" x14ac:dyDescent="0.4">
      <c r="A3" s="25"/>
      <c r="B3" s="29"/>
      <c r="C3" s="359"/>
      <c r="D3" s="360"/>
      <c r="E3" s="360"/>
      <c r="F3" s="360"/>
      <c r="G3" s="360"/>
      <c r="H3" s="360"/>
      <c r="I3" s="360"/>
      <c r="J3" s="359" t="str">
        <f>Transformation!B4</f>
        <v>As of: July 30, 2016</v>
      </c>
      <c r="K3" s="360"/>
      <c r="L3" s="360"/>
      <c r="M3" s="361"/>
      <c r="N3" s="28"/>
    </row>
    <row r="4" spans="1:15" ht="51.75" customHeight="1" thickBot="1" x14ac:dyDescent="0.35">
      <c r="A4" s="30"/>
      <c r="B4" s="246" t="s">
        <v>454</v>
      </c>
      <c r="C4" s="362" t="s">
        <v>430</v>
      </c>
      <c r="D4" s="363"/>
      <c r="E4" s="363"/>
      <c r="F4" s="363"/>
      <c r="G4" s="363"/>
      <c r="H4" s="363"/>
      <c r="I4" s="363"/>
      <c r="J4" s="363"/>
      <c r="K4" s="363"/>
      <c r="L4" s="363"/>
      <c r="M4" s="364"/>
      <c r="N4" s="28"/>
    </row>
    <row r="5" spans="1:15" ht="27" customHeight="1" thickBot="1" x14ac:dyDescent="0.25">
      <c r="A5" s="30"/>
      <c r="B5" s="245" t="s">
        <v>368</v>
      </c>
      <c r="C5" s="365" t="s">
        <v>1040</v>
      </c>
      <c r="D5" s="366"/>
      <c r="E5" s="366"/>
      <c r="F5" s="366"/>
      <c r="G5" s="366"/>
      <c r="H5" s="366"/>
      <c r="I5" s="366"/>
      <c r="J5" s="366"/>
      <c r="K5" s="366"/>
      <c r="L5" s="366"/>
      <c r="M5" s="366"/>
      <c r="N5" s="366"/>
      <c r="O5" s="367"/>
    </row>
    <row r="6" spans="1:15"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5"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5"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5" x14ac:dyDescent="0.2">
      <c r="A9" s="28"/>
      <c r="B9" s="39"/>
      <c r="C9" s="39" t="s">
        <v>713</v>
      </c>
      <c r="D9" s="39" t="s">
        <v>715</v>
      </c>
      <c r="E9" s="39" t="s">
        <v>714</v>
      </c>
      <c r="F9" s="39" t="s">
        <v>717</v>
      </c>
      <c r="G9" s="39" t="s">
        <v>716</v>
      </c>
      <c r="H9" s="39" t="s">
        <v>719</v>
      </c>
      <c r="I9" s="39" t="s">
        <v>718</v>
      </c>
      <c r="J9" s="39"/>
      <c r="K9" s="39"/>
      <c r="L9" s="39"/>
      <c r="M9" s="39"/>
      <c r="N9" s="39"/>
    </row>
    <row r="10" spans="1:15" ht="15.75" customHeight="1" x14ac:dyDescent="0.2">
      <c r="A10" s="25"/>
      <c r="B10" s="26"/>
      <c r="C10" s="350" t="s">
        <v>293</v>
      </c>
      <c r="D10" s="350"/>
      <c r="E10" s="350"/>
      <c r="F10" s="350"/>
      <c r="G10" s="350"/>
      <c r="H10" s="350"/>
      <c r="I10" s="350"/>
      <c r="J10" s="350"/>
      <c r="K10" s="350"/>
      <c r="L10" s="350"/>
      <c r="M10" s="392"/>
      <c r="N10" s="28"/>
    </row>
    <row r="11" spans="1:15" ht="63.75" customHeight="1" x14ac:dyDescent="0.2">
      <c r="A11" s="25"/>
      <c r="B11" s="26"/>
      <c r="C11" s="52" t="s">
        <v>226</v>
      </c>
      <c r="D11" s="52" t="s">
        <v>134</v>
      </c>
      <c r="E11" s="52" t="s">
        <v>227</v>
      </c>
      <c r="F11" s="52" t="s">
        <v>189</v>
      </c>
      <c r="G11" s="52" t="s">
        <v>204</v>
      </c>
      <c r="H11" s="52" t="s">
        <v>206</v>
      </c>
      <c r="I11" s="52" t="s">
        <v>207</v>
      </c>
      <c r="J11" s="394" t="s">
        <v>971</v>
      </c>
      <c r="K11" s="395"/>
      <c r="L11" s="395"/>
      <c r="M11" s="396"/>
      <c r="N11" s="28"/>
    </row>
    <row r="12" spans="1:15" x14ac:dyDescent="0.2">
      <c r="A12" s="25"/>
      <c r="B12" s="41" t="s">
        <v>728</v>
      </c>
      <c r="C12" s="154">
        <f>IF($B12=" ","",IFERROR(INDEX(MMWR_RATING_STATE_ROLLUP_VSC[],MATCH($B12,MMWR_RATING_STATE_ROLLUP_VSC[MMWR_RATING_STATE_ROLLUP_VSC],0),MATCH(C$9,MMWR_RATING_STATE_ROLLUP_VSC[#Headers],0)),"ERROR"))</f>
        <v>376797</v>
      </c>
      <c r="D12" s="155">
        <f>IF($B12=" ","",IFERROR(INDEX(MMWR_RATING_STATE_ROLLUP_VSC[],MATCH($B12,MMWR_RATING_STATE_ROLLUP_VSC[MMWR_RATING_STATE_ROLLUP_VSC],0),MATCH(D$9,MMWR_RATING_STATE_ROLLUP_VSC[#Headers],0)),"ERROR"))</f>
        <v>89.142453363499996</v>
      </c>
      <c r="E12" s="157">
        <f>IF($B12=" ","",IFERROR(INDEX(MMWR_RATING_STATE_ROLLUP_VSC[],MATCH($B12,MMWR_RATING_STATE_ROLLUP_VSC[MMWR_RATING_STATE_ROLLUP_VSC],0),MATCH(E$9,MMWR_RATING_STATE_ROLLUP_VSC[#Headers],0))/$C12,"ERROR"))</f>
        <v>0.20115340621077132</v>
      </c>
      <c r="F12" s="154">
        <f>IF($B12=" ","",IFERROR(INDEX(MMWR_RATING_STATE_ROLLUP_VSC[],MATCH($B12,MMWR_RATING_STATE_ROLLUP_VSC[MMWR_RATING_STATE_ROLLUP_VSC],0),MATCH(F$9,MMWR_RATING_STATE_ROLLUP_VSC[#Headers],0)),"ERROR"))</f>
        <v>100920</v>
      </c>
      <c r="G12" s="154">
        <f>IF($B12=" ","",IFERROR(INDEX(MMWR_RATING_STATE_ROLLUP_VSC[],MATCH($B12,MMWR_RATING_STATE_ROLLUP_VSC[MMWR_RATING_STATE_ROLLUP_VSC],0),MATCH(G$9,MMWR_RATING_STATE_ROLLUP_VSC[#Headers],0)),"ERROR"))</f>
        <v>1045566</v>
      </c>
      <c r="H12" s="155">
        <f>IF($B12=" ","",IFERROR(INDEX(MMWR_RATING_STATE_ROLLUP_VSC[],MATCH($B12,MMWR_RATING_STATE_ROLLUP_VSC[MMWR_RATING_STATE_ROLLUP_VSC],0),MATCH(H$9,MMWR_RATING_STATE_ROLLUP_VSC[#Headers],0)),"ERROR"))</f>
        <v>121.0961256441</v>
      </c>
      <c r="I12" s="155">
        <f>IF($B12=" ","",IFERROR(INDEX(MMWR_RATING_STATE_ROLLUP_VSC[],MATCH($B12,MMWR_RATING_STATE_ROLLUP_VSC[MMWR_RATING_STATE_ROLLUP_VSC],0),MATCH(I$9,MMWR_RATING_STATE_ROLLUP_VSC[#Headers],0)),"ERROR"))</f>
        <v>123.16182622620001</v>
      </c>
      <c r="J12" s="42"/>
      <c r="K12" s="42"/>
      <c r="L12" s="42"/>
      <c r="M12" s="42"/>
      <c r="N12" s="28"/>
    </row>
    <row r="13" spans="1:15" x14ac:dyDescent="0.2">
      <c r="A13" s="25"/>
      <c r="B13" s="342" t="s">
        <v>957</v>
      </c>
      <c r="C13" s="343"/>
      <c r="D13" s="343"/>
      <c r="E13" s="343"/>
      <c r="F13" s="343"/>
      <c r="G13" s="343"/>
      <c r="H13" s="343"/>
      <c r="I13" s="343"/>
      <c r="J13" s="343"/>
      <c r="K13" s="343"/>
      <c r="L13" s="343"/>
      <c r="M13" s="393"/>
      <c r="N13" s="28"/>
    </row>
    <row r="14" spans="1:15" x14ac:dyDescent="0.2">
      <c r="A14" s="25"/>
      <c r="B14" s="41" t="s">
        <v>1034</v>
      </c>
      <c r="C14" s="154">
        <f>IF($B14=" ","",IFERROR(INDEX(MMWR_RATING_STATE_ROLLUP_VSC[],MATCH($B14,MMWR_RATING_STATE_ROLLUP_VSC[MMWR_RATING_STATE_ROLLUP_VSC],0),MATCH(C$9,MMWR_RATING_STATE_ROLLUP_VSC[#Headers],0)),"ERROR"))</f>
        <v>335000</v>
      </c>
      <c r="D14" s="155">
        <f>IF($B14=" ","",IFERROR(INDEX(MMWR_RATING_STATE_ROLLUP_VSC[],MATCH($B14,MMWR_RATING_STATE_ROLLUP_VSC[MMWR_RATING_STATE_ROLLUP_VSC],0),MATCH(D$9,MMWR_RATING_STATE_ROLLUP_VSC[#Headers],0)),"ERROR"))</f>
        <v>91.616671641799996</v>
      </c>
      <c r="E14" s="156">
        <f>IF($B14=" ","",IFERROR(INDEX(MMWR_RATING_STATE_ROLLUP_VSC[],MATCH($B14,MMWR_RATING_STATE_ROLLUP_VSC[MMWR_RATING_STATE_ROLLUP_VSC],0),MATCH(E$9,MMWR_RATING_STATE_ROLLUP_VSC[#Headers],0))/$C14,"ERROR"))</f>
        <v>0.21132238805970149</v>
      </c>
      <c r="F14" s="154">
        <f>IF($B14=" ","",IFERROR(INDEX(MMWR_RATING_STATE_ROLLUP_VSC[],MATCH($B14,MMWR_RATING_STATE_ROLLUP_VSC[MMWR_RATING_STATE_ROLLUP_VSC],0),MATCH(F$9,MMWR_RATING_STATE_ROLLUP_VSC[#Headers],0)),"ERROR"))</f>
        <v>83881</v>
      </c>
      <c r="G14" s="154">
        <f>IF($B14=" ","",IFERROR(INDEX(MMWR_RATING_STATE_ROLLUP_VSC[],MATCH($B14,MMWR_RATING_STATE_ROLLUP_VSC[MMWR_RATING_STATE_ROLLUP_VSC],0),MATCH(G$9,MMWR_RATING_STATE_ROLLUP_VSC[#Headers],0)),"ERROR"))</f>
        <v>877661</v>
      </c>
      <c r="H14" s="155">
        <f>IF($B14=" ","",IFERROR(INDEX(MMWR_RATING_STATE_ROLLUP_VSC[],MATCH($B14,MMWR_RATING_STATE_ROLLUP_VSC[MMWR_RATING_STATE_ROLLUP_VSC],0),MATCH(H$9,MMWR_RATING_STATE_ROLLUP_VSC[#Headers],0)),"ERROR"))</f>
        <v>126.703162814</v>
      </c>
      <c r="I14" s="155">
        <f>IF($B14=" ","",IFERROR(INDEX(MMWR_RATING_STATE_ROLLUP_VSC[],MATCH($B14,MMWR_RATING_STATE_ROLLUP_VSC[MMWR_RATING_STATE_ROLLUP_VSC],0),MATCH(I$9,MMWR_RATING_STATE_ROLLUP_VSC[#Headers],0)),"ERROR"))</f>
        <v>128.72030544820001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71371</v>
      </c>
      <c r="D15" s="155">
        <f>IF($B15=" ","",IFERROR(INDEX(MMWR_RATING_STATE_ROLLUP_VSC[],MATCH($B15,MMWR_RATING_STATE_ROLLUP_VSC[MMWR_RATING_STATE_ROLLUP_VSC],0),MATCH(D$9,MMWR_RATING_STATE_ROLLUP_VSC[#Headers],0)),"ERROR"))</f>
        <v>94.627425705099995</v>
      </c>
      <c r="E15" s="156">
        <f>IF($B15=" ","",IFERROR(INDEX(MMWR_RATING_STATE_ROLLUP_VSC[],MATCH($B15,MMWR_RATING_STATE_ROLLUP_VSC[MMWR_RATING_STATE_ROLLUP_VSC],0),MATCH(E$9,MMWR_RATING_STATE_ROLLUP_VSC[#Headers],0))/$C15,"ERROR"))</f>
        <v>0.22312984265317845</v>
      </c>
      <c r="F15" s="154">
        <f>IF($B15=" ","",IFERROR(INDEX(MMWR_RATING_STATE_ROLLUP_VSC[],MATCH($B15,MMWR_RATING_STATE_ROLLUP_VSC[MMWR_RATING_STATE_ROLLUP_VSC],0),MATCH(F$9,MMWR_RATING_STATE_ROLLUP_VSC[#Headers],0)),"ERROR"))</f>
        <v>18502</v>
      </c>
      <c r="G15" s="154">
        <f>IF($B15=" ","",IFERROR(INDEX(MMWR_RATING_STATE_ROLLUP_VSC[],MATCH($B15,MMWR_RATING_STATE_ROLLUP_VSC[MMWR_RATING_STATE_ROLLUP_VSC],0),MATCH(G$9,MMWR_RATING_STATE_ROLLUP_VSC[#Headers],0)),"ERROR"))</f>
        <v>185111</v>
      </c>
      <c r="H15" s="155">
        <f>IF($B15=" ","",IFERROR(INDEX(MMWR_RATING_STATE_ROLLUP_VSC[],MATCH($B15,MMWR_RATING_STATE_ROLLUP_VSC[MMWR_RATING_STATE_ROLLUP_VSC],0),MATCH(H$9,MMWR_RATING_STATE_ROLLUP_VSC[#Headers],0)),"ERROR"))</f>
        <v>128.82515403740001</v>
      </c>
      <c r="I15" s="155">
        <f>IF($B15=" ","",IFERROR(INDEX(MMWR_RATING_STATE_ROLLUP_VSC[],MATCH($B15,MMWR_RATING_STATE_ROLLUP_VSC[MMWR_RATING_STATE_ROLLUP_VSC],0),MATCH(I$9,MMWR_RATING_STATE_ROLLUP_VSC[#Headers],0)),"ERROR"))</f>
        <v>131.45425717539999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1891</v>
      </c>
      <c r="D16" s="155">
        <f>IF($B16=" ","",IFERROR(INDEX(MMWR_RATING_STATE_ROLLUP_VSC[],MATCH($B16,MMWR_RATING_STATE_ROLLUP_VSC[MMWR_RATING_STATE_ROLLUP_VSC],0),MATCH(D$9,MMWR_RATING_STATE_ROLLUP_VSC[#Headers],0)),"ERROR"))</f>
        <v>81.677948175599994</v>
      </c>
      <c r="E16" s="156">
        <f>IF($B16=" ","",IFERROR(INDEX(MMWR_RATING_STATE_ROLLUP_VSC[],MATCH($B16,MMWR_RATING_STATE_ROLLUP_VSC[MMWR_RATING_STATE_ROLLUP_VSC],0),MATCH(E$9,MMWR_RATING_STATE_ROLLUP_VSC[#Headers],0))/$C16,"ERROR"))</f>
        <v>0.15388683236382866</v>
      </c>
      <c r="F16" s="154">
        <f>IF($B16=" ","",IFERROR(INDEX(MMWR_RATING_STATE_ROLLUP_VSC[],MATCH($B16,MMWR_RATING_STATE_ROLLUP_VSC[MMWR_RATING_STATE_ROLLUP_VSC],0),MATCH(F$9,MMWR_RATING_STATE_ROLLUP_VSC[#Headers],0)),"ERROR"))</f>
        <v>513</v>
      </c>
      <c r="G16" s="154">
        <f>IF($B16=" ","",IFERROR(INDEX(MMWR_RATING_STATE_ROLLUP_VSC[],MATCH($B16,MMWR_RATING_STATE_ROLLUP_VSC[MMWR_RATING_STATE_ROLLUP_VSC],0),MATCH(G$9,MMWR_RATING_STATE_ROLLUP_VSC[#Headers],0)),"ERROR"))</f>
        <v>5558</v>
      </c>
      <c r="H16" s="155">
        <f>IF($B16=" ","",IFERROR(INDEX(MMWR_RATING_STATE_ROLLUP_VSC[],MATCH($B16,MMWR_RATING_STATE_ROLLUP_VSC[MMWR_RATING_STATE_ROLLUP_VSC],0),MATCH(H$9,MMWR_RATING_STATE_ROLLUP_VSC[#Headers],0)),"ERROR"))</f>
        <v>106.3196881092</v>
      </c>
      <c r="I16" s="155">
        <f>IF($B16=" ","",IFERROR(INDEX(MMWR_RATING_STATE_ROLLUP_VSC[],MATCH($B16,MMWR_RATING_STATE_ROLLUP_VSC[MMWR_RATING_STATE_ROLLUP_VSC],0),MATCH(I$9,MMWR_RATING_STATE_ROLLUP_VSC[#Headers],0)),"ERROR"))</f>
        <v>112.88287153650001</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1033</v>
      </c>
      <c r="D17" s="155">
        <f>IF($B17=" ","",IFERROR(INDEX(MMWR_RATING_STATE_ROLLUP_VSC[],MATCH($B17,MMWR_RATING_STATE_ROLLUP_VSC[MMWR_RATING_STATE_ROLLUP_VSC],0),MATCH(D$9,MMWR_RATING_STATE_ROLLUP_VSC[#Headers],0)),"ERROR"))</f>
        <v>97.088092933200002</v>
      </c>
      <c r="E17" s="156">
        <f>IF($B17=" ","",IFERROR(INDEX(MMWR_RATING_STATE_ROLLUP_VSC[],MATCH($B17,MMWR_RATING_STATE_ROLLUP_VSC[MMWR_RATING_STATE_ROLLUP_VSC],0),MATCH(E$9,MMWR_RATING_STATE_ROLLUP_VSC[#Headers],0))/$C17,"ERROR"))</f>
        <v>0.21684414327202323</v>
      </c>
      <c r="F17" s="154">
        <f>IF($B17=" ","",IFERROR(INDEX(MMWR_RATING_STATE_ROLLUP_VSC[],MATCH($B17,MMWR_RATING_STATE_ROLLUP_VSC[MMWR_RATING_STATE_ROLLUP_VSC],0),MATCH(F$9,MMWR_RATING_STATE_ROLLUP_VSC[#Headers],0)),"ERROR"))</f>
        <v>231</v>
      </c>
      <c r="G17" s="154">
        <f>IF($B17=" ","",IFERROR(INDEX(MMWR_RATING_STATE_ROLLUP_VSC[],MATCH($B17,MMWR_RATING_STATE_ROLLUP_VSC[MMWR_RATING_STATE_ROLLUP_VSC],0),MATCH(G$9,MMWR_RATING_STATE_ROLLUP_VSC[#Headers],0)),"ERROR"))</f>
        <v>2455</v>
      </c>
      <c r="H17" s="155">
        <f>IF($B17=" ","",IFERROR(INDEX(MMWR_RATING_STATE_ROLLUP_VSC[],MATCH($B17,MMWR_RATING_STATE_ROLLUP_VSC[MMWR_RATING_STATE_ROLLUP_VSC],0),MATCH(H$9,MMWR_RATING_STATE_ROLLUP_VSC[#Headers],0)),"ERROR"))</f>
        <v>143.76190476190001</v>
      </c>
      <c r="I17" s="155">
        <f>IF($B17=" ","",IFERROR(INDEX(MMWR_RATING_STATE_ROLLUP_VSC[],MATCH($B17,MMWR_RATING_STATE_ROLLUP_VSC[MMWR_RATING_STATE_ROLLUP_VSC],0),MATCH(I$9,MMWR_RATING_STATE_ROLLUP_VSC[#Headers],0)),"ERROR"))</f>
        <v>136.85376782079999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443</v>
      </c>
      <c r="D18" s="155">
        <f>IF($B18=" ","",IFERROR(INDEX(MMWR_RATING_STATE_ROLLUP_VSC[],MATCH($B18,MMWR_RATING_STATE_ROLLUP_VSC[MMWR_RATING_STATE_ROLLUP_VSC],0),MATCH(D$9,MMWR_RATING_STATE_ROLLUP_VSC[#Headers],0)),"ERROR"))</f>
        <v>96.623024830700004</v>
      </c>
      <c r="E18" s="156">
        <f>IF($B18=" ","",IFERROR(INDEX(MMWR_RATING_STATE_ROLLUP_VSC[],MATCH($B18,MMWR_RATING_STATE_ROLLUP_VSC[MMWR_RATING_STATE_ROLLUP_VSC],0),MATCH(E$9,MMWR_RATING_STATE_ROLLUP_VSC[#Headers],0))/$C18,"ERROR"))</f>
        <v>0.22799097065462753</v>
      </c>
      <c r="F18" s="154">
        <f>IF($B18=" ","",IFERROR(INDEX(MMWR_RATING_STATE_ROLLUP_VSC[],MATCH($B18,MMWR_RATING_STATE_ROLLUP_VSC[MMWR_RATING_STATE_ROLLUP_VSC],0),MATCH(F$9,MMWR_RATING_STATE_ROLLUP_VSC[#Headers],0)),"ERROR"))</f>
        <v>98</v>
      </c>
      <c r="G18" s="154">
        <f>IF($B18=" ","",IFERROR(INDEX(MMWR_RATING_STATE_ROLLUP_VSC[],MATCH($B18,MMWR_RATING_STATE_ROLLUP_VSC[MMWR_RATING_STATE_ROLLUP_VSC],0),MATCH(G$9,MMWR_RATING_STATE_ROLLUP_VSC[#Headers],0)),"ERROR"))</f>
        <v>1120</v>
      </c>
      <c r="H18" s="155">
        <f>IF($B18=" ","",IFERROR(INDEX(MMWR_RATING_STATE_ROLLUP_VSC[],MATCH($B18,MMWR_RATING_STATE_ROLLUP_VSC[MMWR_RATING_STATE_ROLLUP_VSC],0),MATCH(H$9,MMWR_RATING_STATE_ROLLUP_VSC[#Headers],0)),"ERROR"))</f>
        <v>168.78571428570001</v>
      </c>
      <c r="I18" s="155">
        <f>IF($B18=" ","",IFERROR(INDEX(MMWR_RATING_STATE_ROLLUP_VSC[],MATCH($B18,MMWR_RATING_STATE_ROLLUP_VSC[MMWR_RATING_STATE_ROLLUP_VSC],0),MATCH(I$9,MMWR_RATING_STATE_ROLLUP_VSC[#Headers],0)),"ERROR"))</f>
        <v>141.13035714290001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1229</v>
      </c>
      <c r="D19" s="155">
        <f>IF($B19=" ","",IFERROR(INDEX(MMWR_RATING_STATE_ROLLUP_VSC[],MATCH($B19,MMWR_RATING_STATE_ROLLUP_VSC[MMWR_RATING_STATE_ROLLUP_VSC],0),MATCH(D$9,MMWR_RATING_STATE_ROLLUP_VSC[#Headers],0)),"ERROR"))</f>
        <v>73.873067534599997</v>
      </c>
      <c r="E19" s="156">
        <f>IF($B19=" ","",IFERROR(INDEX(MMWR_RATING_STATE_ROLLUP_VSC[],MATCH($B19,MMWR_RATING_STATE_ROLLUP_VSC[MMWR_RATING_STATE_ROLLUP_VSC],0),MATCH(E$9,MMWR_RATING_STATE_ROLLUP_VSC[#Headers],0))/$C19,"ERROR"))</f>
        <v>0.13669650122050447</v>
      </c>
      <c r="F19" s="154">
        <f>IF($B19=" ","",IFERROR(INDEX(MMWR_RATING_STATE_ROLLUP_VSC[],MATCH($B19,MMWR_RATING_STATE_ROLLUP_VSC[MMWR_RATING_STATE_ROLLUP_VSC],0),MATCH(F$9,MMWR_RATING_STATE_ROLLUP_VSC[#Headers],0)),"ERROR"))</f>
        <v>448</v>
      </c>
      <c r="G19" s="154">
        <f>IF($B19=" ","",IFERROR(INDEX(MMWR_RATING_STATE_ROLLUP_VSC[],MATCH($B19,MMWR_RATING_STATE_ROLLUP_VSC[MMWR_RATING_STATE_ROLLUP_VSC],0),MATCH(G$9,MMWR_RATING_STATE_ROLLUP_VSC[#Headers],0)),"ERROR"))</f>
        <v>4388</v>
      </c>
      <c r="H19" s="155">
        <f>IF($B19=" ","",IFERROR(INDEX(MMWR_RATING_STATE_ROLLUP_VSC[],MATCH($B19,MMWR_RATING_STATE_ROLLUP_VSC[MMWR_RATING_STATE_ROLLUP_VSC],0),MATCH(H$9,MMWR_RATING_STATE_ROLLUP_VSC[#Headers],0)),"ERROR"))</f>
        <v>89.026785714300004</v>
      </c>
      <c r="I19" s="155">
        <f>IF($B19=" ","",IFERROR(INDEX(MMWR_RATING_STATE_ROLLUP_VSC[],MATCH($B19,MMWR_RATING_STATE_ROLLUP_VSC[MMWR_RATING_STATE_ROLLUP_VSC],0),MATCH(I$9,MMWR_RATING_STATE_ROLLUP_VSC[#Headers],0)),"ERROR"))</f>
        <v>102.8965360073</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6146</v>
      </c>
      <c r="D20" s="155">
        <f>IF($B20=" ","",IFERROR(INDEX(MMWR_RATING_STATE_ROLLUP_VSC[],MATCH($B20,MMWR_RATING_STATE_ROLLUP_VSC[MMWR_RATING_STATE_ROLLUP_VSC],0),MATCH(D$9,MMWR_RATING_STATE_ROLLUP_VSC[#Headers],0)),"ERROR"))</f>
        <v>96.404165310799996</v>
      </c>
      <c r="E20" s="156">
        <f>IF($B20=" ","",IFERROR(INDEX(MMWR_RATING_STATE_ROLLUP_VSC[],MATCH($B20,MMWR_RATING_STATE_ROLLUP_VSC[MMWR_RATING_STATE_ROLLUP_VSC],0),MATCH(E$9,MMWR_RATING_STATE_ROLLUP_VSC[#Headers],0))/$C20,"ERROR"))</f>
        <v>0.22437357630979499</v>
      </c>
      <c r="F20" s="154">
        <f>IF($B20=" ","",IFERROR(INDEX(MMWR_RATING_STATE_ROLLUP_VSC[],MATCH($B20,MMWR_RATING_STATE_ROLLUP_VSC[MMWR_RATING_STATE_ROLLUP_VSC],0),MATCH(F$9,MMWR_RATING_STATE_ROLLUP_VSC[#Headers],0)),"ERROR"))</f>
        <v>1694</v>
      </c>
      <c r="G20" s="154">
        <f>IF($B20=" ","",IFERROR(INDEX(MMWR_RATING_STATE_ROLLUP_VSC[],MATCH($B20,MMWR_RATING_STATE_ROLLUP_VSC[MMWR_RATING_STATE_ROLLUP_VSC],0),MATCH(G$9,MMWR_RATING_STATE_ROLLUP_VSC[#Headers],0)),"ERROR"))</f>
        <v>14908</v>
      </c>
      <c r="H20" s="155">
        <f>IF($B20=" ","",IFERROR(INDEX(MMWR_RATING_STATE_ROLLUP_VSC[],MATCH($B20,MMWR_RATING_STATE_ROLLUP_VSC[MMWR_RATING_STATE_ROLLUP_VSC],0),MATCH(H$9,MMWR_RATING_STATE_ROLLUP_VSC[#Headers],0)),"ERROR"))</f>
        <v>140.09386068480001</v>
      </c>
      <c r="I20" s="155">
        <f>IF($B20=" ","",IFERROR(INDEX(MMWR_RATING_STATE_ROLLUP_VSC[],MATCH($B20,MMWR_RATING_STATE_ROLLUP_VSC[MMWR_RATING_STATE_ROLLUP_VSC],0),MATCH(I$9,MMWR_RATING_STATE_ROLLUP_VSC[#Headers],0)),"ERROR"))</f>
        <v>136.76636705120001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4348</v>
      </c>
      <c r="D21" s="155">
        <f>IF($B21=" ","",IFERROR(INDEX(MMWR_RATING_STATE_ROLLUP_VSC[],MATCH($B21,MMWR_RATING_STATE_ROLLUP_VSC[MMWR_RATING_STATE_ROLLUP_VSC],0),MATCH(D$9,MMWR_RATING_STATE_ROLLUP_VSC[#Headers],0)),"ERROR"))</f>
        <v>86.071987120499998</v>
      </c>
      <c r="E21" s="156">
        <f>IF($B21=" ","",IFERROR(INDEX(MMWR_RATING_STATE_ROLLUP_VSC[],MATCH($B21,MMWR_RATING_STATE_ROLLUP_VSC[MMWR_RATING_STATE_ROLLUP_VSC],0),MATCH(E$9,MMWR_RATING_STATE_ROLLUP_VSC[#Headers],0))/$C21,"ERROR"))</f>
        <v>0.19089236430542778</v>
      </c>
      <c r="F21" s="154">
        <f>IF($B21=" ","",IFERROR(INDEX(MMWR_RATING_STATE_ROLLUP_VSC[],MATCH($B21,MMWR_RATING_STATE_ROLLUP_VSC[MMWR_RATING_STATE_ROLLUP_VSC],0),MATCH(F$9,MMWR_RATING_STATE_ROLLUP_VSC[#Headers],0)),"ERROR"))</f>
        <v>1030</v>
      </c>
      <c r="G21" s="154">
        <f>IF($B21=" ","",IFERROR(INDEX(MMWR_RATING_STATE_ROLLUP_VSC[],MATCH($B21,MMWR_RATING_STATE_ROLLUP_VSC[MMWR_RATING_STATE_ROLLUP_VSC],0),MATCH(G$9,MMWR_RATING_STATE_ROLLUP_VSC[#Headers],0)),"ERROR"))</f>
        <v>11711</v>
      </c>
      <c r="H21" s="155">
        <f>IF($B21=" ","",IFERROR(INDEX(MMWR_RATING_STATE_ROLLUP_VSC[],MATCH($B21,MMWR_RATING_STATE_ROLLUP_VSC[MMWR_RATING_STATE_ROLLUP_VSC],0),MATCH(H$9,MMWR_RATING_STATE_ROLLUP_VSC[#Headers],0)),"ERROR"))</f>
        <v>118.5660194175</v>
      </c>
      <c r="I21" s="155">
        <f>IF($B21=" ","",IFERROR(INDEX(MMWR_RATING_STATE_ROLLUP_VSC[],MATCH($B21,MMWR_RATING_STATE_ROLLUP_VSC[MMWR_RATING_STATE_ROLLUP_VSC],0),MATCH(I$9,MMWR_RATING_STATE_ROLLUP_VSC[#Headers],0)),"ERROR"))</f>
        <v>126.7092477158</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1293</v>
      </c>
      <c r="D22" s="155">
        <f>IF($B22=" ","",IFERROR(INDEX(MMWR_RATING_STATE_ROLLUP_VSC[],MATCH($B22,MMWR_RATING_STATE_ROLLUP_VSC[MMWR_RATING_STATE_ROLLUP_VSC],0),MATCH(D$9,MMWR_RATING_STATE_ROLLUP_VSC[#Headers],0)),"ERROR"))</f>
        <v>78.356535189499994</v>
      </c>
      <c r="E22" s="156">
        <f>IF($B22=" ","",IFERROR(INDEX(MMWR_RATING_STATE_ROLLUP_VSC[],MATCH($B22,MMWR_RATING_STATE_ROLLUP_VSC[MMWR_RATING_STATE_ROLLUP_VSC],0),MATCH(E$9,MMWR_RATING_STATE_ROLLUP_VSC[#Headers],0))/$C22,"ERROR"))</f>
        <v>0.15081206496519722</v>
      </c>
      <c r="F22" s="154">
        <f>IF($B22=" ","",IFERROR(INDEX(MMWR_RATING_STATE_ROLLUP_VSC[],MATCH($B22,MMWR_RATING_STATE_ROLLUP_VSC[MMWR_RATING_STATE_ROLLUP_VSC],0),MATCH(F$9,MMWR_RATING_STATE_ROLLUP_VSC[#Headers],0)),"ERROR"))</f>
        <v>388</v>
      </c>
      <c r="G22" s="154">
        <f>IF($B22=" ","",IFERROR(INDEX(MMWR_RATING_STATE_ROLLUP_VSC[],MATCH($B22,MMWR_RATING_STATE_ROLLUP_VSC[MMWR_RATING_STATE_ROLLUP_VSC],0),MATCH(G$9,MMWR_RATING_STATE_ROLLUP_VSC[#Headers],0)),"ERROR"))</f>
        <v>3517</v>
      </c>
      <c r="H22" s="155">
        <f>IF($B22=" ","",IFERROR(INDEX(MMWR_RATING_STATE_ROLLUP_VSC[],MATCH($B22,MMWR_RATING_STATE_ROLLUP_VSC[MMWR_RATING_STATE_ROLLUP_VSC],0),MATCH(H$9,MMWR_RATING_STATE_ROLLUP_VSC[#Headers],0)),"ERROR"))</f>
        <v>116.20618556700001</v>
      </c>
      <c r="I22" s="155">
        <f>IF($B22=" ","",IFERROR(INDEX(MMWR_RATING_STATE_ROLLUP_VSC[],MATCH($B22,MMWR_RATING_STATE_ROLLUP_VSC[MMWR_RATING_STATE_ROLLUP_VSC],0),MATCH(I$9,MMWR_RATING_STATE_ROLLUP_VSC[#Headers],0)),"ERROR"))</f>
        <v>125.87034404320001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4431</v>
      </c>
      <c r="D23" s="155">
        <f>IF($B23=" ","",IFERROR(INDEX(MMWR_RATING_STATE_ROLLUP_VSC[],MATCH($B23,MMWR_RATING_STATE_ROLLUP_VSC[MMWR_RATING_STATE_ROLLUP_VSC],0),MATCH(D$9,MMWR_RATING_STATE_ROLLUP_VSC[#Headers],0)),"ERROR"))</f>
        <v>106.2329045362</v>
      </c>
      <c r="E23" s="156">
        <f>IF($B23=" ","",IFERROR(INDEX(MMWR_RATING_STATE_ROLLUP_VSC[],MATCH($B23,MMWR_RATING_STATE_ROLLUP_VSC[MMWR_RATING_STATE_ROLLUP_VSC],0),MATCH(E$9,MMWR_RATING_STATE_ROLLUP_VSC[#Headers],0))/$C23,"ERROR"))</f>
        <v>0.27533288196795308</v>
      </c>
      <c r="F23" s="154">
        <f>IF($B23=" ","",IFERROR(INDEX(MMWR_RATING_STATE_ROLLUP_VSC[],MATCH($B23,MMWR_RATING_STATE_ROLLUP_VSC[MMWR_RATING_STATE_ROLLUP_VSC],0),MATCH(F$9,MMWR_RATING_STATE_ROLLUP_VSC[#Headers],0)),"ERROR"))</f>
        <v>952</v>
      </c>
      <c r="G23" s="154">
        <f>IF($B23=" ","",IFERROR(INDEX(MMWR_RATING_STATE_ROLLUP_VSC[],MATCH($B23,MMWR_RATING_STATE_ROLLUP_VSC[MMWR_RATING_STATE_ROLLUP_VSC],0),MATCH(G$9,MMWR_RATING_STATE_ROLLUP_VSC[#Headers],0)),"ERROR"))</f>
        <v>10181</v>
      </c>
      <c r="H23" s="155">
        <f>IF($B23=" ","",IFERROR(INDEX(MMWR_RATING_STATE_ROLLUP_VSC[],MATCH($B23,MMWR_RATING_STATE_ROLLUP_VSC[MMWR_RATING_STATE_ROLLUP_VSC],0),MATCH(H$9,MMWR_RATING_STATE_ROLLUP_VSC[#Headers],0)),"ERROR"))</f>
        <v>148.10504201680001</v>
      </c>
      <c r="I23" s="155">
        <f>IF($B23=" ","",IFERROR(INDEX(MMWR_RATING_STATE_ROLLUP_VSC[],MATCH($B23,MMWR_RATING_STATE_ROLLUP_VSC[MMWR_RATING_STATE_ROLLUP_VSC],0),MATCH(I$9,MMWR_RATING_STATE_ROLLUP_VSC[#Headers],0)),"ERROR"))</f>
        <v>138.47235045670001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9060</v>
      </c>
      <c r="D24" s="155">
        <f>IF($B24=" ","",IFERROR(INDEX(MMWR_RATING_STATE_ROLLUP_VSC[],MATCH($B24,MMWR_RATING_STATE_ROLLUP_VSC[MMWR_RATING_STATE_ROLLUP_VSC],0),MATCH(D$9,MMWR_RATING_STATE_ROLLUP_VSC[#Headers],0)),"ERROR"))</f>
        <v>98.703532008799996</v>
      </c>
      <c r="E24" s="156">
        <f>IF($B24=" ","",IFERROR(INDEX(MMWR_RATING_STATE_ROLLUP_VSC[],MATCH($B24,MMWR_RATING_STATE_ROLLUP_VSC[MMWR_RATING_STATE_ROLLUP_VSC],0),MATCH(E$9,MMWR_RATING_STATE_ROLLUP_VSC[#Headers],0))/$C24,"ERROR"))</f>
        <v>0.23874172185430464</v>
      </c>
      <c r="F24" s="154">
        <f>IF($B24=" ","",IFERROR(INDEX(MMWR_RATING_STATE_ROLLUP_VSC[],MATCH($B24,MMWR_RATING_STATE_ROLLUP_VSC[MMWR_RATING_STATE_ROLLUP_VSC],0),MATCH(F$9,MMWR_RATING_STATE_ROLLUP_VSC[#Headers],0)),"ERROR"))</f>
        <v>2264</v>
      </c>
      <c r="G24" s="154">
        <f>IF($B24=" ","",IFERROR(INDEX(MMWR_RATING_STATE_ROLLUP_VSC[],MATCH($B24,MMWR_RATING_STATE_ROLLUP_VSC[MMWR_RATING_STATE_ROLLUP_VSC],0),MATCH(G$9,MMWR_RATING_STATE_ROLLUP_VSC[#Headers],0)),"ERROR"))</f>
        <v>23375</v>
      </c>
      <c r="H24" s="155">
        <f>IF($B24=" ","",IFERROR(INDEX(MMWR_RATING_STATE_ROLLUP_VSC[],MATCH($B24,MMWR_RATING_STATE_ROLLUP_VSC[MMWR_RATING_STATE_ROLLUP_VSC],0),MATCH(H$9,MMWR_RATING_STATE_ROLLUP_VSC[#Headers],0)),"ERROR"))</f>
        <v>128.17446996469999</v>
      </c>
      <c r="I24" s="155">
        <f>IF($B24=" ","",IFERROR(INDEX(MMWR_RATING_STATE_ROLLUP_VSC[],MATCH($B24,MMWR_RATING_STATE_ROLLUP_VSC[MMWR_RATING_STATE_ROLLUP_VSC],0),MATCH(I$9,MMWR_RATING_STATE_ROLLUP_VSC[#Headers],0)),"ERROR"))</f>
        <v>129.69368983960001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16934</v>
      </c>
      <c r="D25" s="155">
        <f>IF($B25=" ","",IFERROR(INDEX(MMWR_RATING_STATE_ROLLUP_VSC[],MATCH($B25,MMWR_RATING_STATE_ROLLUP_VSC[MMWR_RATING_STATE_ROLLUP_VSC],0),MATCH(D$9,MMWR_RATING_STATE_ROLLUP_VSC[#Headers],0)),"ERROR"))</f>
        <v>93.137711113700007</v>
      </c>
      <c r="E25" s="156">
        <f>IF($B25=" ","",IFERROR(INDEX(MMWR_RATING_STATE_ROLLUP_VSC[],MATCH($B25,MMWR_RATING_STATE_ROLLUP_VSC[MMWR_RATING_STATE_ROLLUP_VSC],0),MATCH(E$9,MMWR_RATING_STATE_ROLLUP_VSC[#Headers],0))/$C25,"ERROR"))</f>
        <v>0.22794378174087634</v>
      </c>
      <c r="F25" s="154">
        <f>IF($B25=" ","",IFERROR(INDEX(MMWR_RATING_STATE_ROLLUP_VSC[],MATCH($B25,MMWR_RATING_STATE_ROLLUP_VSC[MMWR_RATING_STATE_ROLLUP_VSC],0),MATCH(F$9,MMWR_RATING_STATE_ROLLUP_VSC[#Headers],0)),"ERROR"))</f>
        <v>4393</v>
      </c>
      <c r="G25" s="154">
        <f>IF($B25=" ","",IFERROR(INDEX(MMWR_RATING_STATE_ROLLUP_VSC[],MATCH($B25,MMWR_RATING_STATE_ROLLUP_VSC[MMWR_RATING_STATE_ROLLUP_VSC],0),MATCH(G$9,MMWR_RATING_STATE_ROLLUP_VSC[#Headers],0)),"ERROR"))</f>
        <v>42420</v>
      </c>
      <c r="H25" s="155">
        <f>IF($B25=" ","",IFERROR(INDEX(MMWR_RATING_STATE_ROLLUP_VSC[],MATCH($B25,MMWR_RATING_STATE_ROLLUP_VSC[MMWR_RATING_STATE_ROLLUP_VSC],0),MATCH(H$9,MMWR_RATING_STATE_ROLLUP_VSC[#Headers],0)),"ERROR"))</f>
        <v>130.23423628500001</v>
      </c>
      <c r="I25" s="155">
        <f>IF($B25=" ","",IFERROR(INDEX(MMWR_RATING_STATE_ROLLUP_VSC[],MATCH($B25,MMWR_RATING_STATE_ROLLUP_VSC[MMWR_RATING_STATE_ROLLUP_VSC],0),MATCH(I$9,MMWR_RATING_STATE_ROLLUP_VSC[#Headers],0)),"ERROR"))</f>
        <v>135.76560584629999</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9651</v>
      </c>
      <c r="D26" s="155">
        <f>IF($B26=" ","",IFERROR(INDEX(MMWR_RATING_STATE_ROLLUP_VSC[],MATCH($B26,MMWR_RATING_STATE_ROLLUP_VSC[MMWR_RATING_STATE_ROLLUP_VSC],0),MATCH(D$9,MMWR_RATING_STATE_ROLLUP_VSC[#Headers],0)),"ERROR"))</f>
        <v>112.8398093462</v>
      </c>
      <c r="E26" s="156">
        <f>IF($B26=" ","",IFERROR(INDEX(MMWR_RATING_STATE_ROLLUP_VSC[],MATCH($B26,MMWR_RATING_STATE_ROLLUP_VSC[MMWR_RATING_STATE_ROLLUP_VSC],0),MATCH(E$9,MMWR_RATING_STATE_ROLLUP_VSC[#Headers],0))/$C26,"ERROR"))</f>
        <v>0.28815666770282872</v>
      </c>
      <c r="F26" s="154">
        <f>IF($B26=" ","",IFERROR(INDEX(MMWR_RATING_STATE_ROLLUP_VSC[],MATCH($B26,MMWR_RATING_STATE_ROLLUP_VSC[MMWR_RATING_STATE_ROLLUP_VSC],0),MATCH(F$9,MMWR_RATING_STATE_ROLLUP_VSC[#Headers],0)),"ERROR"))</f>
        <v>2287</v>
      </c>
      <c r="G26" s="154">
        <f>IF($B26=" ","",IFERROR(INDEX(MMWR_RATING_STATE_ROLLUP_VSC[],MATCH($B26,MMWR_RATING_STATE_ROLLUP_VSC[MMWR_RATING_STATE_ROLLUP_VSC],0),MATCH(G$9,MMWR_RATING_STATE_ROLLUP_VSC[#Headers],0)),"ERROR"))</f>
        <v>23672</v>
      </c>
      <c r="H26" s="155">
        <f>IF($B26=" ","",IFERROR(INDEX(MMWR_RATING_STATE_ROLLUP_VSC[],MATCH($B26,MMWR_RATING_STATE_ROLLUP_VSC[MMWR_RATING_STATE_ROLLUP_VSC],0),MATCH(H$9,MMWR_RATING_STATE_ROLLUP_VSC[#Headers],0)),"ERROR"))</f>
        <v>143.82597289020001</v>
      </c>
      <c r="I26" s="155">
        <f>IF($B26=" ","",IFERROR(INDEX(MMWR_RATING_STATE_ROLLUP_VSC[],MATCH($B26,MMWR_RATING_STATE_ROLLUP_VSC[MMWR_RATING_STATE_ROLLUP_VSC],0),MATCH(I$9,MMWR_RATING_STATE_ROLLUP_VSC[#Headers],0)),"ERROR"))</f>
        <v>140.4305086178</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901</v>
      </c>
      <c r="D27" s="155">
        <f>IF($B27=" ","",IFERROR(INDEX(MMWR_RATING_STATE_ROLLUP_VSC[],MATCH($B27,MMWR_RATING_STATE_ROLLUP_VSC[MMWR_RATING_STATE_ROLLUP_VSC],0),MATCH(D$9,MMWR_RATING_STATE_ROLLUP_VSC[#Headers],0)),"ERROR"))</f>
        <v>86.5527192009</v>
      </c>
      <c r="E27" s="156">
        <f>IF($B27=" ","",IFERROR(INDEX(MMWR_RATING_STATE_ROLLUP_VSC[],MATCH($B27,MMWR_RATING_STATE_ROLLUP_VSC[MMWR_RATING_STATE_ROLLUP_VSC],0),MATCH(E$9,MMWR_RATING_STATE_ROLLUP_VSC[#Headers],0))/$C27,"ERROR"))</f>
        <v>0.1853496115427303</v>
      </c>
      <c r="F27" s="154">
        <f>IF($B27=" ","",IFERROR(INDEX(MMWR_RATING_STATE_ROLLUP_VSC[],MATCH($B27,MMWR_RATING_STATE_ROLLUP_VSC[MMWR_RATING_STATE_ROLLUP_VSC],0),MATCH(F$9,MMWR_RATING_STATE_ROLLUP_VSC[#Headers],0)),"ERROR"))</f>
        <v>293</v>
      </c>
      <c r="G27" s="154">
        <f>IF($B27=" ","",IFERROR(INDEX(MMWR_RATING_STATE_ROLLUP_VSC[],MATCH($B27,MMWR_RATING_STATE_ROLLUP_VSC[MMWR_RATING_STATE_ROLLUP_VSC],0),MATCH(G$9,MMWR_RATING_STATE_ROLLUP_VSC[#Headers],0)),"ERROR"))</f>
        <v>2779</v>
      </c>
      <c r="H27" s="155">
        <f>IF($B27=" ","",IFERROR(INDEX(MMWR_RATING_STATE_ROLLUP_VSC[],MATCH($B27,MMWR_RATING_STATE_ROLLUP_VSC[MMWR_RATING_STATE_ROLLUP_VSC],0),MATCH(H$9,MMWR_RATING_STATE_ROLLUP_VSC[#Headers],0)),"ERROR"))</f>
        <v>102.8225255973</v>
      </c>
      <c r="I27" s="155">
        <f>IF($B27=" ","",IFERROR(INDEX(MMWR_RATING_STATE_ROLLUP_VSC[],MATCH($B27,MMWR_RATING_STATE_ROLLUP_VSC[MMWR_RATING_STATE_ROLLUP_VSC],0),MATCH(I$9,MMWR_RATING_STATE_ROLLUP_VSC[#Headers],0)),"ERROR"))</f>
        <v>106.7732997481</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521</v>
      </c>
      <c r="D28" s="155">
        <f>IF($B28=" ","",IFERROR(INDEX(MMWR_RATING_STATE_ROLLUP_VSC[],MATCH($B28,MMWR_RATING_STATE_ROLLUP_VSC[MMWR_RATING_STATE_ROLLUP_VSC],0),MATCH(D$9,MMWR_RATING_STATE_ROLLUP_VSC[#Headers],0)),"ERROR"))</f>
        <v>95.270633397300003</v>
      </c>
      <c r="E28" s="156">
        <f>IF($B28=" ","",IFERROR(INDEX(MMWR_RATING_STATE_ROLLUP_VSC[],MATCH($B28,MMWR_RATING_STATE_ROLLUP_VSC[MMWR_RATING_STATE_ROLLUP_VSC],0),MATCH(E$9,MMWR_RATING_STATE_ROLLUP_VSC[#Headers],0))/$C28,"ERROR"))</f>
        <v>0.23224568138195778</v>
      </c>
      <c r="F28" s="154">
        <f>IF($B28=" ","",IFERROR(INDEX(MMWR_RATING_STATE_ROLLUP_VSC[],MATCH($B28,MMWR_RATING_STATE_ROLLUP_VSC[MMWR_RATING_STATE_ROLLUP_VSC],0),MATCH(F$9,MMWR_RATING_STATE_ROLLUP_VSC[#Headers],0)),"ERROR"))</f>
        <v>175</v>
      </c>
      <c r="G28" s="154">
        <f>IF($B28=" ","",IFERROR(INDEX(MMWR_RATING_STATE_ROLLUP_VSC[],MATCH($B28,MMWR_RATING_STATE_ROLLUP_VSC[MMWR_RATING_STATE_ROLLUP_VSC],0),MATCH(G$9,MMWR_RATING_STATE_ROLLUP_VSC[#Headers],0)),"ERROR"))</f>
        <v>1254</v>
      </c>
      <c r="H28" s="155">
        <f>IF($B28=" ","",IFERROR(INDEX(MMWR_RATING_STATE_ROLLUP_VSC[],MATCH($B28,MMWR_RATING_STATE_ROLLUP_VSC[MMWR_RATING_STATE_ROLLUP_VSC],0),MATCH(H$9,MMWR_RATING_STATE_ROLLUP_VSC[#Headers],0)),"ERROR"))</f>
        <v>140.82285714290001</v>
      </c>
      <c r="I28" s="155">
        <f>IF($B28=" ","",IFERROR(INDEX(MMWR_RATING_STATE_ROLLUP_VSC[],MATCH($B28,MMWR_RATING_STATE_ROLLUP_VSC[MMWR_RATING_STATE_ROLLUP_VSC],0),MATCH(I$9,MMWR_RATING_STATE_ROLLUP_VSC[#Headers],0)),"ERROR"))</f>
        <v>132.12121212119999</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11140</v>
      </c>
      <c r="D29" s="155">
        <f>IF($B29=" ","",IFERROR(INDEX(MMWR_RATING_STATE_ROLLUP_VSC[],MATCH($B29,MMWR_RATING_STATE_ROLLUP_VSC[MMWR_RATING_STATE_ROLLUP_VSC],0),MATCH(D$9,MMWR_RATING_STATE_ROLLUP_VSC[#Headers],0)),"ERROR"))</f>
        <v>84.557630161600002</v>
      </c>
      <c r="E29" s="156">
        <f>IF($B29=" ","",IFERROR(INDEX(MMWR_RATING_STATE_ROLLUP_VSC[],MATCH($B29,MMWR_RATING_STATE_ROLLUP_VSC[MMWR_RATING_STATE_ROLLUP_VSC],0),MATCH(E$9,MMWR_RATING_STATE_ROLLUP_VSC[#Headers],0))/$C29,"ERROR"))</f>
        <v>0.17917414721723518</v>
      </c>
      <c r="F29" s="154">
        <f>IF($B29=" ","",IFERROR(INDEX(MMWR_RATING_STATE_ROLLUP_VSC[],MATCH($B29,MMWR_RATING_STATE_ROLLUP_VSC[MMWR_RATING_STATE_ROLLUP_VSC],0),MATCH(F$9,MMWR_RATING_STATE_ROLLUP_VSC[#Headers],0)),"ERROR"))</f>
        <v>2828</v>
      </c>
      <c r="G29" s="154">
        <f>IF($B29=" ","",IFERROR(INDEX(MMWR_RATING_STATE_ROLLUP_VSC[],MATCH($B29,MMWR_RATING_STATE_ROLLUP_VSC[MMWR_RATING_STATE_ROLLUP_VSC],0),MATCH(G$9,MMWR_RATING_STATE_ROLLUP_VSC[#Headers],0)),"ERROR"))</f>
        <v>29872</v>
      </c>
      <c r="H29" s="155">
        <f>IF($B29=" ","",IFERROR(INDEX(MMWR_RATING_STATE_ROLLUP_VSC[],MATCH($B29,MMWR_RATING_STATE_ROLLUP_VSC[MMWR_RATING_STATE_ROLLUP_VSC],0),MATCH(H$9,MMWR_RATING_STATE_ROLLUP_VSC[#Headers],0)),"ERROR"))</f>
        <v>121.6987270156</v>
      </c>
      <c r="I29" s="155">
        <f>IF($B29=" ","",IFERROR(INDEX(MMWR_RATING_STATE_ROLLUP_VSC[],MATCH($B29,MMWR_RATING_STATE_ROLLUP_VSC[MMWR_RATING_STATE_ROLLUP_VSC],0),MATCH(I$9,MMWR_RATING_STATE_ROLLUP_VSC[#Headers],0)),"ERROR"))</f>
        <v>130.06092662020001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2350</v>
      </c>
      <c r="D30" s="155">
        <f>IF($B30=" ","",IFERROR(INDEX(MMWR_RATING_STATE_ROLLUP_VSC[],MATCH($B30,MMWR_RATING_STATE_ROLLUP_VSC[MMWR_RATING_STATE_ROLLUP_VSC],0),MATCH(D$9,MMWR_RATING_STATE_ROLLUP_VSC[#Headers],0)),"ERROR"))</f>
        <v>83.610212766000004</v>
      </c>
      <c r="E30" s="156">
        <f>IF($B30=" ","",IFERROR(INDEX(MMWR_RATING_STATE_ROLLUP_VSC[],MATCH($B30,MMWR_RATING_STATE_ROLLUP_VSC[MMWR_RATING_STATE_ROLLUP_VSC],0),MATCH(E$9,MMWR_RATING_STATE_ROLLUP_VSC[#Headers],0))/$C30,"ERROR"))</f>
        <v>0.18255319148936169</v>
      </c>
      <c r="F30" s="154">
        <f>IF($B30=" ","",IFERROR(INDEX(MMWR_RATING_STATE_ROLLUP_VSC[],MATCH($B30,MMWR_RATING_STATE_ROLLUP_VSC[MMWR_RATING_STATE_ROLLUP_VSC],0),MATCH(F$9,MMWR_RATING_STATE_ROLLUP_VSC[#Headers],0)),"ERROR"))</f>
        <v>908</v>
      </c>
      <c r="G30" s="154">
        <f>IF($B30=" ","",IFERROR(INDEX(MMWR_RATING_STATE_ROLLUP_VSC[],MATCH($B30,MMWR_RATING_STATE_ROLLUP_VSC[MMWR_RATING_STATE_ROLLUP_VSC],0),MATCH(G$9,MMWR_RATING_STATE_ROLLUP_VSC[#Headers],0)),"ERROR"))</f>
        <v>7901</v>
      </c>
      <c r="H30" s="155">
        <f>IF($B30=" ","",IFERROR(INDEX(MMWR_RATING_STATE_ROLLUP_VSC[],MATCH($B30,MMWR_RATING_STATE_ROLLUP_VSC[MMWR_RATING_STATE_ROLLUP_VSC],0),MATCH(H$9,MMWR_RATING_STATE_ROLLUP_VSC[#Headers],0)),"ERROR"))</f>
        <v>114.1519823789</v>
      </c>
      <c r="I30" s="155">
        <f>IF($B30=" ","",IFERROR(INDEX(MMWR_RATING_STATE_ROLLUP_VSC[],MATCH($B30,MMWR_RATING_STATE_ROLLUP_VSC[MMWR_RATING_STATE_ROLLUP_VSC],0),MATCH(I$9,MMWR_RATING_STATE_ROLLUP_VSC[#Headers],0)),"ERROR"))</f>
        <v>116.7921782053</v>
      </c>
      <c r="J30" s="42"/>
      <c r="K30" s="42"/>
      <c r="L30" s="42"/>
      <c r="M30" s="42"/>
      <c r="N30" s="28"/>
    </row>
    <row r="31" spans="1:14" x14ac:dyDescent="0.2">
      <c r="A31" s="25"/>
      <c r="B31" s="342" t="s">
        <v>958</v>
      </c>
      <c r="C31" s="343"/>
      <c r="D31" s="343"/>
      <c r="E31" s="343"/>
      <c r="F31" s="343"/>
      <c r="G31" s="343"/>
      <c r="H31" s="343"/>
      <c r="I31" s="343"/>
      <c r="J31" s="343"/>
      <c r="K31" s="343"/>
      <c r="L31" s="343"/>
      <c r="M31" s="393"/>
      <c r="N31" s="28"/>
    </row>
    <row r="32" spans="1:14" x14ac:dyDescent="0.2">
      <c r="A32" s="25"/>
      <c r="B32" s="41" t="s">
        <v>1036</v>
      </c>
      <c r="C32" s="154">
        <f>IF($B32=" ","",IFERROR(INDEX(MMWR_RATING_STATE_ROLLUP_PMC[],MATCH($B32,MMWR_RATING_STATE_ROLLUP_PMC[MMWR_RATING_STATE_ROLLUP_PMC],0),MATCH(C$9,MMWR_RATING_STATE_ROLLUP_PMC[#Headers],0)),"ERROR"))</f>
        <v>27151</v>
      </c>
      <c r="D32" s="155">
        <f>IF($B32=" ","",IFERROR(INDEX(MMWR_RATING_STATE_ROLLUP_PMC[],MATCH($B32,MMWR_RATING_STATE_ROLLUP_PMC[MMWR_RATING_STATE_ROLLUP_PMC],0),MATCH(D$9,MMWR_RATING_STATE_ROLLUP_PMC[#Headers],0)),"ERROR"))</f>
        <v>69.248720120800002</v>
      </c>
      <c r="E32" s="156">
        <f>IF($B32=" ","",IFERROR(INDEX(MMWR_RATING_STATE_ROLLUP_PMC[],MATCH($B32,MMWR_RATING_STATE_ROLLUP_PMC[MMWR_RATING_STATE_ROLLUP_PMC],0),MATCH(E$9,MMWR_RATING_STATE_ROLLUP_PMC[#Headers],0))/$C32,"ERROR"))</f>
        <v>0.12113734300762403</v>
      </c>
      <c r="F32" s="154">
        <f>IF($B32=" ","",IFERROR(INDEX(MMWR_RATING_STATE_ROLLUP_PMC[],MATCH($B32,MMWR_RATING_STATE_ROLLUP_PMC[MMWR_RATING_STATE_ROLLUP_PMC],0),MATCH(F$9,MMWR_RATING_STATE_ROLLUP_PMC[#Headers],0)),"ERROR"))</f>
        <v>12875</v>
      </c>
      <c r="G32" s="154">
        <f>IF($B32=" ","",IFERROR(INDEX(MMWR_RATING_STATE_ROLLUP_PMC[],MATCH($B32,MMWR_RATING_STATE_ROLLUP_PMC[MMWR_RATING_STATE_ROLLUP_PMC],0),MATCH(G$9,MMWR_RATING_STATE_ROLLUP_PMC[#Headers],0)),"ERROR"))</f>
        <v>122274</v>
      </c>
      <c r="H32" s="155">
        <f>IF($B32=" ","",IFERROR(INDEX(MMWR_RATING_STATE_ROLLUP_PMC[],MATCH($B32,MMWR_RATING_STATE_ROLLUP_PMC[MMWR_RATING_STATE_ROLLUP_PMC],0),MATCH(H$9,MMWR_RATING_STATE_ROLLUP_PMC[#Headers],0)),"ERROR"))</f>
        <v>85.970873786400006</v>
      </c>
      <c r="I32" s="155">
        <f>IF($B32=" ","",IFERROR(INDEX(MMWR_RATING_STATE_ROLLUP_PMC[],MATCH($B32,MMWR_RATING_STATE_ROLLUP_PMC[MMWR_RATING_STATE_ROLLUP_PMC],0),MATCH(I$9,MMWR_RATING_STATE_ROLLUP_PMC[#Headers],0)),"ERROR"))</f>
        <v>79.107406316999999</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7325</v>
      </c>
      <c r="D33" s="155">
        <f>IF($B33=" ","",IFERROR(INDEX(MMWR_RATING_STATE_ROLLUP_PMC[],MATCH($B33,MMWR_RATING_STATE_ROLLUP_PMC[MMWR_RATING_STATE_ROLLUP_PMC],0),MATCH(D$9,MMWR_RATING_STATE_ROLLUP_PMC[#Headers],0)),"ERROR"))</f>
        <v>71.799726962500003</v>
      </c>
      <c r="E33" s="156">
        <f>IF($B33=" ","",IFERROR(INDEX(MMWR_RATING_STATE_ROLLUP_PMC[],MATCH($B33,MMWR_RATING_STATE_ROLLUP_PMC[MMWR_RATING_STATE_ROLLUP_PMC],0),MATCH(E$9,MMWR_RATING_STATE_ROLLUP_PMC[#Headers],0))/$C33,"ERROR"))</f>
        <v>0.13624573378839591</v>
      </c>
      <c r="F33" s="154">
        <f>IF($B33=" ","",IFERROR(INDEX(MMWR_RATING_STATE_ROLLUP_PMC[],MATCH($B33,MMWR_RATING_STATE_ROLLUP_PMC[MMWR_RATING_STATE_ROLLUP_PMC],0),MATCH(F$9,MMWR_RATING_STATE_ROLLUP_PMC[#Headers],0)),"ERROR"))</f>
        <v>3269</v>
      </c>
      <c r="G33" s="154">
        <f>IF($B33=" ","",IFERROR(INDEX(MMWR_RATING_STATE_ROLLUP_PMC[],MATCH($B33,MMWR_RATING_STATE_ROLLUP_PMC[MMWR_RATING_STATE_ROLLUP_PMC],0),MATCH(G$9,MMWR_RATING_STATE_ROLLUP_PMC[#Headers],0)),"ERROR"))</f>
        <v>24916</v>
      </c>
      <c r="H33" s="155">
        <f>IF($B33=" ","",IFERROR(INDEX(MMWR_RATING_STATE_ROLLUP_PMC[],MATCH($B33,MMWR_RATING_STATE_ROLLUP_PMC[MMWR_RATING_STATE_ROLLUP_PMC],0),MATCH(H$9,MMWR_RATING_STATE_ROLLUP_PMC[#Headers],0)),"ERROR"))</f>
        <v>101.5613337412</v>
      </c>
      <c r="I33" s="155">
        <f>IF($B33=" ","",IFERROR(INDEX(MMWR_RATING_STATE_ROLLUP_PMC[],MATCH($B33,MMWR_RATING_STATE_ROLLUP_PMC[MMWR_RATING_STATE_ROLLUP_PMC],0),MATCH(I$9,MMWR_RATING_STATE_ROLLUP_PMC[#Headers],0)),"ERROR"))</f>
        <v>98.079306469700001</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251</v>
      </c>
      <c r="D34" s="155">
        <f>IF($B34=" ","",IFERROR(INDEX(MMWR_RATING_STATE_ROLLUP_PMC[],MATCH($B34,MMWR_RATING_STATE_ROLLUP_PMC[MMWR_RATING_STATE_ROLLUP_PMC],0),MATCH(D$9,MMWR_RATING_STATE_ROLLUP_PMC[#Headers],0)),"ERROR"))</f>
        <v>66.776892430299995</v>
      </c>
      <c r="E34" s="156">
        <f>IF($B34=" ","",IFERROR(INDEX(MMWR_RATING_STATE_ROLLUP_PMC[],MATCH($B34,MMWR_RATING_STATE_ROLLUP_PMC[MMWR_RATING_STATE_ROLLUP_PMC],0),MATCH(E$9,MMWR_RATING_STATE_ROLLUP_PMC[#Headers],0))/$C34,"ERROR"))</f>
        <v>9.1633466135458169E-2</v>
      </c>
      <c r="F34" s="154">
        <f>IF($B34=" ","",IFERROR(INDEX(MMWR_RATING_STATE_ROLLUP_PMC[],MATCH($B34,MMWR_RATING_STATE_ROLLUP_PMC[MMWR_RATING_STATE_ROLLUP_PMC],0),MATCH(F$9,MMWR_RATING_STATE_ROLLUP_PMC[#Headers],0)),"ERROR"))</f>
        <v>107</v>
      </c>
      <c r="G34" s="154">
        <f>IF($B34=" ","",IFERROR(INDEX(MMWR_RATING_STATE_ROLLUP_PMC[],MATCH($B34,MMWR_RATING_STATE_ROLLUP_PMC[MMWR_RATING_STATE_ROLLUP_PMC],0),MATCH(G$9,MMWR_RATING_STATE_ROLLUP_PMC[#Headers],0)),"ERROR"))</f>
        <v>742</v>
      </c>
      <c r="H34" s="155">
        <f>IF($B34=" ","",IFERROR(INDEX(MMWR_RATING_STATE_ROLLUP_PMC[],MATCH($B34,MMWR_RATING_STATE_ROLLUP_PMC[MMWR_RATING_STATE_ROLLUP_PMC],0),MATCH(H$9,MMWR_RATING_STATE_ROLLUP_PMC[#Headers],0)),"ERROR"))</f>
        <v>95.878504672899993</v>
      </c>
      <c r="I34" s="155">
        <f>IF($B34=" ","",IFERROR(INDEX(MMWR_RATING_STATE_ROLLUP_PMC[],MATCH($B34,MMWR_RATING_STATE_ROLLUP_PMC[MMWR_RATING_STATE_ROLLUP_PMC],0),MATCH(I$9,MMWR_RATING_STATE_ROLLUP_PMC[#Headers],0)),"ERROR"))</f>
        <v>97.963611859799997</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78</v>
      </c>
      <c r="D35" s="155">
        <f>IF($B35=" ","",IFERROR(INDEX(MMWR_RATING_STATE_ROLLUP_PMC[],MATCH($B35,MMWR_RATING_STATE_ROLLUP_PMC[MMWR_RATING_STATE_ROLLUP_PMC],0),MATCH(D$9,MMWR_RATING_STATE_ROLLUP_PMC[#Headers],0)),"ERROR"))</f>
        <v>71.974358974400005</v>
      </c>
      <c r="E35" s="156">
        <f>IF($B35=" ","",IFERROR(INDEX(MMWR_RATING_STATE_ROLLUP_PMC[],MATCH($B35,MMWR_RATING_STATE_ROLLUP_PMC[MMWR_RATING_STATE_ROLLUP_PMC],0),MATCH(E$9,MMWR_RATING_STATE_ROLLUP_PMC[#Headers],0))/$C35,"ERROR"))</f>
        <v>0.15384615384615385</v>
      </c>
      <c r="F35" s="154">
        <f>IF($B35=" ","",IFERROR(INDEX(MMWR_RATING_STATE_ROLLUP_PMC[],MATCH($B35,MMWR_RATING_STATE_ROLLUP_PMC[MMWR_RATING_STATE_ROLLUP_PMC],0),MATCH(F$9,MMWR_RATING_STATE_ROLLUP_PMC[#Headers],0)),"ERROR"))</f>
        <v>31</v>
      </c>
      <c r="G35" s="154">
        <f>IF($B35=" ","",IFERROR(INDEX(MMWR_RATING_STATE_ROLLUP_PMC[],MATCH($B35,MMWR_RATING_STATE_ROLLUP_PMC[MMWR_RATING_STATE_ROLLUP_PMC],0),MATCH(G$9,MMWR_RATING_STATE_ROLLUP_PMC[#Headers],0)),"ERROR"))</f>
        <v>251</v>
      </c>
      <c r="H35" s="155">
        <f>IF($B35=" ","",IFERROR(INDEX(MMWR_RATING_STATE_ROLLUP_PMC[],MATCH($B35,MMWR_RATING_STATE_ROLLUP_PMC[MMWR_RATING_STATE_ROLLUP_PMC],0),MATCH(H$9,MMWR_RATING_STATE_ROLLUP_PMC[#Headers],0)),"ERROR"))</f>
        <v>111.25806451610001</v>
      </c>
      <c r="I35" s="155">
        <f>IF($B35=" ","",IFERROR(INDEX(MMWR_RATING_STATE_ROLLUP_PMC[],MATCH($B35,MMWR_RATING_STATE_ROLLUP_PMC[MMWR_RATING_STATE_ROLLUP_PMC],0),MATCH(I$9,MMWR_RATING_STATE_ROLLUP_PMC[#Headers],0)),"ERROR"))</f>
        <v>100.6653386454</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48</v>
      </c>
      <c r="D36" s="155">
        <f>IF($B36=" ","",IFERROR(INDEX(MMWR_RATING_STATE_ROLLUP_PMC[],MATCH($B36,MMWR_RATING_STATE_ROLLUP_PMC[MMWR_RATING_STATE_ROLLUP_PMC],0),MATCH(D$9,MMWR_RATING_STATE_ROLLUP_PMC[#Headers],0)),"ERROR"))</f>
        <v>79.229166666699996</v>
      </c>
      <c r="E36" s="156">
        <f>IF($B36=" ","",IFERROR(INDEX(MMWR_RATING_STATE_ROLLUP_PMC[],MATCH($B36,MMWR_RATING_STATE_ROLLUP_PMC[MMWR_RATING_STATE_ROLLUP_PMC],0),MATCH(E$9,MMWR_RATING_STATE_ROLLUP_PMC[#Headers],0))/$C36,"ERROR"))</f>
        <v>0.14583333333333334</v>
      </c>
      <c r="F36" s="154">
        <f>IF($B36=" ","",IFERROR(INDEX(MMWR_RATING_STATE_ROLLUP_PMC[],MATCH($B36,MMWR_RATING_STATE_ROLLUP_PMC[MMWR_RATING_STATE_ROLLUP_PMC],0),MATCH(F$9,MMWR_RATING_STATE_ROLLUP_PMC[#Headers],0)),"ERROR"))</f>
        <v>21</v>
      </c>
      <c r="G36" s="154">
        <f>IF($B36=" ","",IFERROR(INDEX(MMWR_RATING_STATE_ROLLUP_PMC[],MATCH($B36,MMWR_RATING_STATE_ROLLUP_PMC[MMWR_RATING_STATE_ROLLUP_PMC],0),MATCH(G$9,MMWR_RATING_STATE_ROLLUP_PMC[#Headers],0)),"ERROR"))</f>
        <v>213</v>
      </c>
      <c r="H36" s="155">
        <f>IF($B36=" ","",IFERROR(INDEX(MMWR_RATING_STATE_ROLLUP_PMC[],MATCH($B36,MMWR_RATING_STATE_ROLLUP_PMC[MMWR_RATING_STATE_ROLLUP_PMC],0),MATCH(H$9,MMWR_RATING_STATE_ROLLUP_PMC[#Headers],0)),"ERROR"))</f>
        <v>119.42857142859999</v>
      </c>
      <c r="I36" s="155">
        <f>IF($B36=" ","",IFERROR(INDEX(MMWR_RATING_STATE_ROLLUP_PMC[],MATCH($B36,MMWR_RATING_STATE_ROLLUP_PMC[MMWR_RATING_STATE_ROLLUP_PMC],0),MATCH(I$9,MMWR_RATING_STATE_ROLLUP_PMC[#Headers],0)),"ERROR"))</f>
        <v>109.661971831</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120</v>
      </c>
      <c r="D37" s="155">
        <f>IF($B37=" ","",IFERROR(INDEX(MMWR_RATING_STATE_ROLLUP_PMC[],MATCH($B37,MMWR_RATING_STATE_ROLLUP_PMC[MMWR_RATING_STATE_ROLLUP_PMC],0),MATCH(D$9,MMWR_RATING_STATE_ROLLUP_PMC[#Headers],0)),"ERROR"))</f>
        <v>64.333333333300004</v>
      </c>
      <c r="E37" s="156">
        <f>IF($B37=" ","",IFERROR(INDEX(MMWR_RATING_STATE_ROLLUP_PMC[],MATCH($B37,MMWR_RATING_STATE_ROLLUP_PMC[MMWR_RATING_STATE_ROLLUP_PMC],0),MATCH(E$9,MMWR_RATING_STATE_ROLLUP_PMC[#Headers],0))/$C37,"ERROR"))</f>
        <v>9.166666666666666E-2</v>
      </c>
      <c r="F37" s="154">
        <f>IF($B37=" ","",IFERROR(INDEX(MMWR_RATING_STATE_ROLLUP_PMC[],MATCH($B37,MMWR_RATING_STATE_ROLLUP_PMC[MMWR_RATING_STATE_ROLLUP_PMC],0),MATCH(F$9,MMWR_RATING_STATE_ROLLUP_PMC[#Headers],0)),"ERROR"))</f>
        <v>53</v>
      </c>
      <c r="G37" s="154">
        <f>IF($B37=" ","",IFERROR(INDEX(MMWR_RATING_STATE_ROLLUP_PMC[],MATCH($B37,MMWR_RATING_STATE_ROLLUP_PMC[MMWR_RATING_STATE_ROLLUP_PMC],0),MATCH(G$9,MMWR_RATING_STATE_ROLLUP_PMC[#Headers],0)),"ERROR"))</f>
        <v>473</v>
      </c>
      <c r="H37" s="155">
        <f>IF($B37=" ","",IFERROR(INDEX(MMWR_RATING_STATE_ROLLUP_PMC[],MATCH($B37,MMWR_RATING_STATE_ROLLUP_PMC[MMWR_RATING_STATE_ROLLUP_PMC],0),MATCH(H$9,MMWR_RATING_STATE_ROLLUP_PMC[#Headers],0)),"ERROR"))</f>
        <v>88.622641509399998</v>
      </c>
      <c r="I37" s="155">
        <f>IF($B37=" ","",IFERROR(INDEX(MMWR_RATING_STATE_ROLLUP_PMC[],MATCH($B37,MMWR_RATING_STATE_ROLLUP_PMC[MMWR_RATING_STATE_ROLLUP_PMC],0),MATCH(I$9,MMWR_RATING_STATE_ROLLUP_PMC[#Headers],0)),"ERROR"))</f>
        <v>87.659619450299999</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495</v>
      </c>
      <c r="D38" s="155">
        <f>IF($B38=" ","",IFERROR(INDEX(MMWR_RATING_STATE_ROLLUP_PMC[],MATCH($B38,MMWR_RATING_STATE_ROLLUP_PMC[MMWR_RATING_STATE_ROLLUP_PMC],0),MATCH(D$9,MMWR_RATING_STATE_ROLLUP_PMC[#Headers],0)),"ERROR"))</f>
        <v>72.664646464599997</v>
      </c>
      <c r="E38" s="156">
        <f>IF($B38=" ","",IFERROR(INDEX(MMWR_RATING_STATE_ROLLUP_PMC[],MATCH($B38,MMWR_RATING_STATE_ROLLUP_PMC[MMWR_RATING_STATE_ROLLUP_PMC],0),MATCH(E$9,MMWR_RATING_STATE_ROLLUP_PMC[#Headers],0))/$C38,"ERROR"))</f>
        <v>0.14747474747474748</v>
      </c>
      <c r="F38" s="154">
        <f>IF($B38=" ","",IFERROR(INDEX(MMWR_RATING_STATE_ROLLUP_PMC[],MATCH($B38,MMWR_RATING_STATE_ROLLUP_PMC[MMWR_RATING_STATE_ROLLUP_PMC],0),MATCH(F$9,MMWR_RATING_STATE_ROLLUP_PMC[#Headers],0)),"ERROR"))</f>
        <v>236</v>
      </c>
      <c r="G38" s="154">
        <f>IF($B38=" ","",IFERROR(INDEX(MMWR_RATING_STATE_ROLLUP_PMC[],MATCH($B38,MMWR_RATING_STATE_ROLLUP_PMC[MMWR_RATING_STATE_ROLLUP_PMC],0),MATCH(G$9,MMWR_RATING_STATE_ROLLUP_PMC[#Headers],0)),"ERROR"))</f>
        <v>1629</v>
      </c>
      <c r="H38" s="155">
        <f>IF($B38=" ","",IFERROR(INDEX(MMWR_RATING_STATE_ROLLUP_PMC[],MATCH($B38,MMWR_RATING_STATE_ROLLUP_PMC[MMWR_RATING_STATE_ROLLUP_PMC],0),MATCH(H$9,MMWR_RATING_STATE_ROLLUP_PMC[#Headers],0)),"ERROR"))</f>
        <v>98.216101694900004</v>
      </c>
      <c r="I38" s="155">
        <f>IF($B38=" ","",IFERROR(INDEX(MMWR_RATING_STATE_ROLLUP_PMC[],MATCH($B38,MMWR_RATING_STATE_ROLLUP_PMC[MMWR_RATING_STATE_ROLLUP_PMC],0),MATCH(I$9,MMWR_RATING_STATE_ROLLUP_PMC[#Headers],0)),"ERROR"))</f>
        <v>100.9140577041</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449</v>
      </c>
      <c r="D39" s="155">
        <f>IF($B39=" ","",IFERROR(INDEX(MMWR_RATING_STATE_ROLLUP_PMC[],MATCH($B39,MMWR_RATING_STATE_ROLLUP_PMC[MMWR_RATING_STATE_ROLLUP_PMC],0),MATCH(D$9,MMWR_RATING_STATE_ROLLUP_PMC[#Headers],0)),"ERROR"))</f>
        <v>70.779510022300002</v>
      </c>
      <c r="E39" s="156">
        <f>IF($B39=" ","",IFERROR(INDEX(MMWR_RATING_STATE_ROLLUP_PMC[],MATCH($B39,MMWR_RATING_STATE_ROLLUP_PMC[MMWR_RATING_STATE_ROLLUP_PMC],0),MATCH(E$9,MMWR_RATING_STATE_ROLLUP_PMC[#Headers],0))/$C39,"ERROR"))</f>
        <v>0.13140311804008908</v>
      </c>
      <c r="F39" s="154">
        <f>IF($B39=" ","",IFERROR(INDEX(MMWR_RATING_STATE_ROLLUP_PMC[],MATCH($B39,MMWR_RATING_STATE_ROLLUP_PMC[MMWR_RATING_STATE_ROLLUP_PMC],0),MATCH(F$9,MMWR_RATING_STATE_ROLLUP_PMC[#Headers],0)),"ERROR"))</f>
        <v>173</v>
      </c>
      <c r="G39" s="154">
        <f>IF($B39=" ","",IFERROR(INDEX(MMWR_RATING_STATE_ROLLUP_PMC[],MATCH($B39,MMWR_RATING_STATE_ROLLUP_PMC[MMWR_RATING_STATE_ROLLUP_PMC],0),MATCH(G$9,MMWR_RATING_STATE_ROLLUP_PMC[#Headers],0)),"ERROR"))</f>
        <v>1551</v>
      </c>
      <c r="H39" s="155">
        <f>IF($B39=" ","",IFERROR(INDEX(MMWR_RATING_STATE_ROLLUP_PMC[],MATCH($B39,MMWR_RATING_STATE_ROLLUP_PMC[MMWR_RATING_STATE_ROLLUP_PMC],0),MATCH(H$9,MMWR_RATING_STATE_ROLLUP_PMC[#Headers],0)),"ERROR"))</f>
        <v>108.8843930636</v>
      </c>
      <c r="I39" s="155">
        <f>IF($B39=" ","",IFERROR(INDEX(MMWR_RATING_STATE_ROLLUP_PMC[],MATCH($B39,MMWR_RATING_STATE_ROLLUP_PMC[MMWR_RATING_STATE_ROLLUP_PMC],0),MATCH(I$9,MMWR_RATING_STATE_ROLLUP_PMC[#Headers],0)),"ERROR"))</f>
        <v>93.978078658900003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115</v>
      </c>
      <c r="D40" s="155">
        <f>IF($B40=" ","",IFERROR(INDEX(MMWR_RATING_STATE_ROLLUP_PMC[],MATCH($B40,MMWR_RATING_STATE_ROLLUP_PMC[MMWR_RATING_STATE_ROLLUP_PMC],0),MATCH(D$9,MMWR_RATING_STATE_ROLLUP_PMC[#Headers],0)),"ERROR"))</f>
        <v>69.634782608699993</v>
      </c>
      <c r="E40" s="156">
        <f>IF($B40=" ","",IFERROR(INDEX(MMWR_RATING_STATE_ROLLUP_PMC[],MATCH($B40,MMWR_RATING_STATE_ROLLUP_PMC[MMWR_RATING_STATE_ROLLUP_PMC],0),MATCH(E$9,MMWR_RATING_STATE_ROLLUP_PMC[#Headers],0))/$C40,"ERROR"))</f>
        <v>0.14782608695652175</v>
      </c>
      <c r="F40" s="154">
        <f>IF($B40=" ","",IFERROR(INDEX(MMWR_RATING_STATE_ROLLUP_PMC[],MATCH($B40,MMWR_RATING_STATE_ROLLUP_PMC[MMWR_RATING_STATE_ROLLUP_PMC],0),MATCH(F$9,MMWR_RATING_STATE_ROLLUP_PMC[#Headers],0)),"ERROR"))</f>
        <v>53</v>
      </c>
      <c r="G40" s="154">
        <f>IF($B40=" ","",IFERROR(INDEX(MMWR_RATING_STATE_ROLLUP_PMC[],MATCH($B40,MMWR_RATING_STATE_ROLLUP_PMC[MMWR_RATING_STATE_ROLLUP_PMC],0),MATCH(G$9,MMWR_RATING_STATE_ROLLUP_PMC[#Headers],0)),"ERROR"))</f>
        <v>386</v>
      </c>
      <c r="H40" s="155">
        <f>IF($B40=" ","",IFERROR(INDEX(MMWR_RATING_STATE_ROLLUP_PMC[],MATCH($B40,MMWR_RATING_STATE_ROLLUP_PMC[MMWR_RATING_STATE_ROLLUP_PMC],0),MATCH(H$9,MMWR_RATING_STATE_ROLLUP_PMC[#Headers],0)),"ERROR"))</f>
        <v>85.226415094299995</v>
      </c>
      <c r="I40" s="155">
        <f>IF($B40=" ","",IFERROR(INDEX(MMWR_RATING_STATE_ROLLUP_PMC[],MATCH($B40,MMWR_RATING_STATE_ROLLUP_PMC[MMWR_RATING_STATE_ROLLUP_PMC],0),MATCH(I$9,MMWR_RATING_STATE_ROLLUP_PMC[#Headers],0)),"ERROR"))</f>
        <v>93.492227979299997</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504</v>
      </c>
      <c r="D41" s="155">
        <f>IF($B41=" ","",IFERROR(INDEX(MMWR_RATING_STATE_ROLLUP_PMC[],MATCH($B41,MMWR_RATING_STATE_ROLLUP_PMC[MMWR_RATING_STATE_ROLLUP_PMC],0),MATCH(D$9,MMWR_RATING_STATE_ROLLUP_PMC[#Headers],0)),"ERROR"))</f>
        <v>70.853174603200003</v>
      </c>
      <c r="E41" s="156">
        <f>IF($B41=" ","",IFERROR(INDEX(MMWR_RATING_STATE_ROLLUP_PMC[],MATCH($B41,MMWR_RATING_STATE_ROLLUP_PMC[MMWR_RATING_STATE_ROLLUP_PMC],0),MATCH(E$9,MMWR_RATING_STATE_ROLLUP_PMC[#Headers],0))/$C41,"ERROR"))</f>
        <v>0.12896825396825398</v>
      </c>
      <c r="F41" s="154">
        <f>IF($B41=" ","",IFERROR(INDEX(MMWR_RATING_STATE_ROLLUP_PMC[],MATCH($B41,MMWR_RATING_STATE_ROLLUP_PMC[MMWR_RATING_STATE_ROLLUP_PMC],0),MATCH(F$9,MMWR_RATING_STATE_ROLLUP_PMC[#Headers],0)),"ERROR"))</f>
        <v>225</v>
      </c>
      <c r="G41" s="154">
        <f>IF($B41=" ","",IFERROR(INDEX(MMWR_RATING_STATE_ROLLUP_PMC[],MATCH($B41,MMWR_RATING_STATE_ROLLUP_PMC[MMWR_RATING_STATE_ROLLUP_PMC],0),MATCH(G$9,MMWR_RATING_STATE_ROLLUP_PMC[#Headers],0)),"ERROR"))</f>
        <v>1697</v>
      </c>
      <c r="H41" s="155">
        <f>IF($B41=" ","",IFERROR(INDEX(MMWR_RATING_STATE_ROLLUP_PMC[],MATCH($B41,MMWR_RATING_STATE_ROLLUP_PMC[MMWR_RATING_STATE_ROLLUP_PMC],0),MATCH(H$9,MMWR_RATING_STATE_ROLLUP_PMC[#Headers],0)),"ERROR"))</f>
        <v>100.0977777778</v>
      </c>
      <c r="I41" s="155">
        <f>IF($B41=" ","",IFERROR(INDEX(MMWR_RATING_STATE_ROLLUP_PMC[],MATCH($B41,MMWR_RATING_STATE_ROLLUP_PMC[MMWR_RATING_STATE_ROLLUP_PMC],0),MATCH(I$9,MMWR_RATING_STATE_ROLLUP_PMC[#Headers],0)),"ERROR"))</f>
        <v>97.038892162600007</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1177</v>
      </c>
      <c r="D42" s="155">
        <f>IF($B42=" ","",IFERROR(INDEX(MMWR_RATING_STATE_ROLLUP_PMC[],MATCH($B42,MMWR_RATING_STATE_ROLLUP_PMC[MMWR_RATING_STATE_ROLLUP_PMC],0),MATCH(D$9,MMWR_RATING_STATE_ROLLUP_PMC[#Headers],0)),"ERROR"))</f>
        <v>70.820730671199996</v>
      </c>
      <c r="E42" s="156">
        <f>IF($B42=" ","",IFERROR(INDEX(MMWR_RATING_STATE_ROLLUP_PMC[],MATCH($B42,MMWR_RATING_STATE_ROLLUP_PMC[MMWR_RATING_STATE_ROLLUP_PMC],0),MATCH(E$9,MMWR_RATING_STATE_ROLLUP_PMC[#Headers],0))/$C42,"ERROR"))</f>
        <v>0.135089209855565</v>
      </c>
      <c r="F42" s="154">
        <f>IF($B42=" ","",IFERROR(INDEX(MMWR_RATING_STATE_ROLLUP_PMC[],MATCH($B42,MMWR_RATING_STATE_ROLLUP_PMC[MMWR_RATING_STATE_ROLLUP_PMC],0),MATCH(F$9,MMWR_RATING_STATE_ROLLUP_PMC[#Headers],0)),"ERROR"))</f>
        <v>610</v>
      </c>
      <c r="G42" s="154">
        <f>IF($B42=" ","",IFERROR(INDEX(MMWR_RATING_STATE_ROLLUP_PMC[],MATCH($B42,MMWR_RATING_STATE_ROLLUP_PMC[MMWR_RATING_STATE_ROLLUP_PMC],0),MATCH(G$9,MMWR_RATING_STATE_ROLLUP_PMC[#Headers],0)),"ERROR"))</f>
        <v>4338</v>
      </c>
      <c r="H42" s="155">
        <f>IF($B42=" ","",IFERROR(INDEX(MMWR_RATING_STATE_ROLLUP_PMC[],MATCH($B42,MMWR_RATING_STATE_ROLLUP_PMC[MMWR_RATING_STATE_ROLLUP_PMC],0),MATCH(H$9,MMWR_RATING_STATE_ROLLUP_PMC[#Headers],0)),"ERROR"))</f>
        <v>101.9180327869</v>
      </c>
      <c r="I42" s="155">
        <f>IF($B42=" ","",IFERROR(INDEX(MMWR_RATING_STATE_ROLLUP_PMC[],MATCH($B42,MMWR_RATING_STATE_ROLLUP_PMC[MMWR_RATING_STATE_ROLLUP_PMC],0),MATCH(I$9,MMWR_RATING_STATE_ROLLUP_PMC[#Headers],0)),"ERROR"))</f>
        <v>99.284232365099996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1312</v>
      </c>
      <c r="D43" s="155">
        <f>IF($B43=" ","",IFERROR(INDEX(MMWR_RATING_STATE_ROLLUP_PMC[],MATCH($B43,MMWR_RATING_STATE_ROLLUP_PMC[MMWR_RATING_STATE_ROLLUP_PMC],0),MATCH(D$9,MMWR_RATING_STATE_ROLLUP_PMC[#Headers],0)),"ERROR"))</f>
        <v>75.081554878000006</v>
      </c>
      <c r="E43" s="156">
        <f>IF($B43=" ","",IFERROR(INDEX(MMWR_RATING_STATE_ROLLUP_PMC[],MATCH($B43,MMWR_RATING_STATE_ROLLUP_PMC[MMWR_RATING_STATE_ROLLUP_PMC],0),MATCH(E$9,MMWR_RATING_STATE_ROLLUP_PMC[#Headers],0))/$C43,"ERROR"))</f>
        <v>0.16158536585365854</v>
      </c>
      <c r="F43" s="154">
        <f>IF($B43=" ","",IFERROR(INDEX(MMWR_RATING_STATE_ROLLUP_PMC[],MATCH($B43,MMWR_RATING_STATE_ROLLUP_PMC[MMWR_RATING_STATE_ROLLUP_PMC],0),MATCH(F$9,MMWR_RATING_STATE_ROLLUP_PMC[#Headers],0)),"ERROR"))</f>
        <v>581</v>
      </c>
      <c r="G43" s="154">
        <f>IF($B43=" ","",IFERROR(INDEX(MMWR_RATING_STATE_ROLLUP_PMC[],MATCH($B43,MMWR_RATING_STATE_ROLLUP_PMC[MMWR_RATING_STATE_ROLLUP_PMC],0),MATCH(G$9,MMWR_RATING_STATE_ROLLUP_PMC[#Headers],0)),"ERROR"))</f>
        <v>4373</v>
      </c>
      <c r="H43" s="155">
        <f>IF($B43=" ","",IFERROR(INDEX(MMWR_RATING_STATE_ROLLUP_PMC[],MATCH($B43,MMWR_RATING_STATE_ROLLUP_PMC[MMWR_RATING_STATE_ROLLUP_PMC],0),MATCH(H$9,MMWR_RATING_STATE_ROLLUP_PMC[#Headers],0)),"ERROR"))</f>
        <v>101.4320137694</v>
      </c>
      <c r="I43" s="155">
        <f>IF($B43=" ","",IFERROR(INDEX(MMWR_RATING_STATE_ROLLUP_PMC[],MATCH($B43,MMWR_RATING_STATE_ROLLUP_PMC[MMWR_RATING_STATE_ROLLUP_PMC],0),MATCH(I$9,MMWR_RATING_STATE_ROLLUP_PMC[#Headers],0)),"ERROR"))</f>
        <v>97.494168762900003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1475</v>
      </c>
      <c r="D44" s="155">
        <f>IF($B44=" ","",IFERROR(INDEX(MMWR_RATING_STATE_ROLLUP_PMC[],MATCH($B44,MMWR_RATING_STATE_ROLLUP_PMC[MMWR_RATING_STATE_ROLLUP_PMC],0),MATCH(D$9,MMWR_RATING_STATE_ROLLUP_PMC[#Headers],0)),"ERROR"))</f>
        <v>71.926101694899998</v>
      </c>
      <c r="E44" s="156">
        <f>IF($B44=" ","",IFERROR(INDEX(MMWR_RATING_STATE_ROLLUP_PMC[],MATCH($B44,MMWR_RATING_STATE_ROLLUP_PMC[MMWR_RATING_STATE_ROLLUP_PMC],0),MATCH(E$9,MMWR_RATING_STATE_ROLLUP_PMC[#Headers],0))/$C44,"ERROR"))</f>
        <v>0.12474576271186441</v>
      </c>
      <c r="F44" s="154">
        <f>IF($B44=" ","",IFERROR(INDEX(MMWR_RATING_STATE_ROLLUP_PMC[],MATCH($B44,MMWR_RATING_STATE_ROLLUP_PMC[MMWR_RATING_STATE_ROLLUP_PMC],0),MATCH(F$9,MMWR_RATING_STATE_ROLLUP_PMC[#Headers],0)),"ERROR"))</f>
        <v>647</v>
      </c>
      <c r="G44" s="154">
        <f>IF($B44=" ","",IFERROR(INDEX(MMWR_RATING_STATE_ROLLUP_PMC[],MATCH($B44,MMWR_RATING_STATE_ROLLUP_PMC[MMWR_RATING_STATE_ROLLUP_PMC],0),MATCH(G$9,MMWR_RATING_STATE_ROLLUP_PMC[#Headers],0)),"ERROR"))</f>
        <v>5083</v>
      </c>
      <c r="H44" s="155">
        <f>IF($B44=" ","",IFERROR(INDEX(MMWR_RATING_STATE_ROLLUP_PMC[],MATCH($B44,MMWR_RATING_STATE_ROLLUP_PMC[MMWR_RATING_STATE_ROLLUP_PMC],0),MATCH(H$9,MMWR_RATING_STATE_ROLLUP_PMC[#Headers],0)),"ERROR"))</f>
        <v>103.341576507</v>
      </c>
      <c r="I44" s="155">
        <f>IF($B44=" ","",IFERROR(INDEX(MMWR_RATING_STATE_ROLLUP_PMC[],MATCH($B44,MMWR_RATING_STATE_ROLLUP_PMC[MMWR_RATING_STATE_ROLLUP_PMC],0),MATCH(I$9,MMWR_RATING_STATE_ROLLUP_PMC[#Headers],0)),"ERROR"))</f>
        <v>96.9024198308</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99</v>
      </c>
      <c r="D45" s="155">
        <f>IF($B45=" ","",IFERROR(INDEX(MMWR_RATING_STATE_ROLLUP_PMC[],MATCH($B45,MMWR_RATING_STATE_ROLLUP_PMC[MMWR_RATING_STATE_ROLLUP_PMC],0),MATCH(D$9,MMWR_RATING_STATE_ROLLUP_PMC[#Headers],0)),"ERROR"))</f>
        <v>70.101010101</v>
      </c>
      <c r="E45" s="156">
        <f>IF($B45=" ","",IFERROR(INDEX(MMWR_RATING_STATE_ROLLUP_PMC[],MATCH($B45,MMWR_RATING_STATE_ROLLUP_PMC[MMWR_RATING_STATE_ROLLUP_PMC],0),MATCH(E$9,MMWR_RATING_STATE_ROLLUP_PMC[#Headers],0))/$C45,"ERROR"))</f>
        <v>9.0909090909090912E-2</v>
      </c>
      <c r="F45" s="154">
        <f>IF($B45=" ","",IFERROR(INDEX(MMWR_RATING_STATE_ROLLUP_PMC[],MATCH($B45,MMWR_RATING_STATE_ROLLUP_PMC[MMWR_RATING_STATE_ROLLUP_PMC],0),MATCH(F$9,MMWR_RATING_STATE_ROLLUP_PMC[#Headers],0)),"ERROR"))</f>
        <v>47</v>
      </c>
      <c r="G45" s="154">
        <f>IF($B45=" ","",IFERROR(INDEX(MMWR_RATING_STATE_ROLLUP_PMC[],MATCH($B45,MMWR_RATING_STATE_ROLLUP_PMC[MMWR_RATING_STATE_ROLLUP_PMC],0),MATCH(G$9,MMWR_RATING_STATE_ROLLUP_PMC[#Headers],0)),"ERROR"))</f>
        <v>388</v>
      </c>
      <c r="H45" s="155">
        <f>IF($B45=" ","",IFERROR(INDEX(MMWR_RATING_STATE_ROLLUP_PMC[],MATCH($B45,MMWR_RATING_STATE_ROLLUP_PMC[MMWR_RATING_STATE_ROLLUP_PMC],0),MATCH(H$9,MMWR_RATING_STATE_ROLLUP_PMC[#Headers],0)),"ERROR"))</f>
        <v>122.21276595739999</v>
      </c>
      <c r="I45" s="155">
        <f>IF($B45=" ","",IFERROR(INDEX(MMWR_RATING_STATE_ROLLUP_PMC[],MATCH($B45,MMWR_RATING_STATE_ROLLUP_PMC[MMWR_RATING_STATE_ROLLUP_PMC],0),MATCH(I$9,MMWR_RATING_STATE_ROLLUP_PMC[#Headers],0)),"ERROR"))</f>
        <v>98.376288659799997</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41</v>
      </c>
      <c r="D46" s="155">
        <f>IF($B46=" ","",IFERROR(INDEX(MMWR_RATING_STATE_ROLLUP_PMC[],MATCH($B46,MMWR_RATING_STATE_ROLLUP_PMC[MMWR_RATING_STATE_ROLLUP_PMC],0),MATCH(D$9,MMWR_RATING_STATE_ROLLUP_PMC[#Headers],0)),"ERROR"))</f>
        <v>64.048780487800002</v>
      </c>
      <c r="E46" s="156">
        <f>IF($B46=" ","",IFERROR(INDEX(MMWR_RATING_STATE_ROLLUP_PMC[],MATCH($B46,MMWR_RATING_STATE_ROLLUP_PMC[MMWR_RATING_STATE_ROLLUP_PMC],0),MATCH(E$9,MMWR_RATING_STATE_ROLLUP_PMC[#Headers],0))/$C46,"ERROR"))</f>
        <v>0.12195121951219512</v>
      </c>
      <c r="F46" s="154">
        <f>IF($B46=" ","",IFERROR(INDEX(MMWR_RATING_STATE_ROLLUP_PMC[],MATCH($B46,MMWR_RATING_STATE_ROLLUP_PMC[MMWR_RATING_STATE_ROLLUP_PMC],0),MATCH(F$9,MMWR_RATING_STATE_ROLLUP_PMC[#Headers],0)),"ERROR"))</f>
        <v>11</v>
      </c>
      <c r="G46" s="154">
        <f>IF($B46=" ","",IFERROR(INDEX(MMWR_RATING_STATE_ROLLUP_PMC[],MATCH($B46,MMWR_RATING_STATE_ROLLUP_PMC[MMWR_RATING_STATE_ROLLUP_PMC],0),MATCH(G$9,MMWR_RATING_STATE_ROLLUP_PMC[#Headers],0)),"ERROR"))</f>
        <v>139</v>
      </c>
      <c r="H46" s="155">
        <f>IF($B46=" ","",IFERROR(INDEX(MMWR_RATING_STATE_ROLLUP_PMC[],MATCH($B46,MMWR_RATING_STATE_ROLLUP_PMC[MMWR_RATING_STATE_ROLLUP_PMC],0),MATCH(H$9,MMWR_RATING_STATE_ROLLUP_PMC[#Headers],0)),"ERROR"))</f>
        <v>96.181818181799997</v>
      </c>
      <c r="I46" s="155">
        <f>IF($B46=" ","",IFERROR(INDEX(MMWR_RATING_STATE_ROLLUP_PMC[],MATCH($B46,MMWR_RATING_STATE_ROLLUP_PMC[MMWR_RATING_STATE_ROLLUP_PMC],0),MATCH(I$9,MMWR_RATING_STATE_ROLLUP_PMC[#Headers],0)),"ERROR"))</f>
        <v>101.3381294964</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930</v>
      </c>
      <c r="D47" s="155">
        <f>IF($B47=" ","",IFERROR(INDEX(MMWR_RATING_STATE_ROLLUP_PMC[],MATCH($B47,MMWR_RATING_STATE_ROLLUP_PMC[MMWR_RATING_STATE_ROLLUP_PMC],0),MATCH(D$9,MMWR_RATING_STATE_ROLLUP_PMC[#Headers],0)),"ERROR"))</f>
        <v>72.358064516100001</v>
      </c>
      <c r="E47" s="156">
        <f>IF($B47=" ","",IFERROR(INDEX(MMWR_RATING_STATE_ROLLUP_PMC[],MATCH($B47,MMWR_RATING_STATE_ROLLUP_PMC[MMWR_RATING_STATE_ROLLUP_PMC],0),MATCH(E$9,MMWR_RATING_STATE_ROLLUP_PMC[#Headers],0))/$C47,"ERROR"))</f>
        <v>0.14838709677419354</v>
      </c>
      <c r="F47" s="154">
        <f>IF($B47=" ","",IFERROR(INDEX(MMWR_RATING_STATE_ROLLUP_PMC[],MATCH($B47,MMWR_RATING_STATE_ROLLUP_PMC[MMWR_RATING_STATE_ROLLUP_PMC],0),MATCH(F$9,MMWR_RATING_STATE_ROLLUP_PMC[#Headers],0)),"ERROR"))</f>
        <v>362</v>
      </c>
      <c r="G47" s="154">
        <f>IF($B47=" ","",IFERROR(INDEX(MMWR_RATING_STATE_ROLLUP_PMC[],MATCH($B47,MMWR_RATING_STATE_ROLLUP_PMC[MMWR_RATING_STATE_ROLLUP_PMC],0),MATCH(G$9,MMWR_RATING_STATE_ROLLUP_PMC[#Headers],0)),"ERROR"))</f>
        <v>2745</v>
      </c>
      <c r="H47" s="155">
        <f>IF($B47=" ","",IFERROR(INDEX(MMWR_RATING_STATE_ROLLUP_PMC[],MATCH($B47,MMWR_RATING_STATE_ROLLUP_PMC[MMWR_RATING_STATE_ROLLUP_PMC],0),MATCH(H$9,MMWR_RATING_STATE_ROLLUP_PMC[#Headers],0)),"ERROR"))</f>
        <v>98.270718231999993</v>
      </c>
      <c r="I47" s="155">
        <f>IF($B47=" ","",IFERROR(INDEX(MMWR_RATING_STATE_ROLLUP_PMC[],MATCH($B47,MMWR_RATING_STATE_ROLLUP_PMC[MMWR_RATING_STATE_ROLLUP_PMC],0),MATCH(I$9,MMWR_RATING_STATE_ROLLUP_PMC[#Headers],0)),"ERROR"))</f>
        <v>101.2633879781</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231</v>
      </c>
      <c r="D48" s="155">
        <f>IF($B48=" ","",IFERROR(INDEX(MMWR_RATING_STATE_ROLLUP_PMC[],MATCH($B48,MMWR_RATING_STATE_ROLLUP_PMC[MMWR_RATING_STATE_ROLLUP_PMC],0),MATCH(D$9,MMWR_RATING_STATE_ROLLUP_PMC[#Headers],0)),"ERROR"))</f>
        <v>68.203463203499993</v>
      </c>
      <c r="E48" s="156">
        <f>IF($B48=" ","",IFERROR(INDEX(MMWR_RATING_STATE_ROLLUP_PMC[],MATCH($B48,MMWR_RATING_STATE_ROLLUP_PMC[MMWR_RATING_STATE_ROLLUP_PMC],0),MATCH(E$9,MMWR_RATING_STATE_ROLLUP_PMC[#Headers],0))/$C48,"ERROR"))</f>
        <v>0.1038961038961039</v>
      </c>
      <c r="F48" s="154">
        <f>IF($B48=" ","",IFERROR(INDEX(MMWR_RATING_STATE_ROLLUP_PMC[],MATCH($B48,MMWR_RATING_STATE_ROLLUP_PMC[MMWR_RATING_STATE_ROLLUP_PMC],0),MATCH(F$9,MMWR_RATING_STATE_ROLLUP_PMC[#Headers],0)),"ERROR"))</f>
        <v>112</v>
      </c>
      <c r="G48" s="154">
        <f>IF($B48=" ","",IFERROR(INDEX(MMWR_RATING_STATE_ROLLUP_PMC[],MATCH($B48,MMWR_RATING_STATE_ROLLUP_PMC[MMWR_RATING_STATE_ROLLUP_PMC],0),MATCH(G$9,MMWR_RATING_STATE_ROLLUP_PMC[#Headers],0)),"ERROR"))</f>
        <v>908</v>
      </c>
      <c r="H48" s="155">
        <f>IF($B48=" ","",IFERROR(INDEX(MMWR_RATING_STATE_ROLLUP_PMC[],MATCH($B48,MMWR_RATING_STATE_ROLLUP_PMC[MMWR_RATING_STATE_ROLLUP_PMC],0),MATCH(H$9,MMWR_RATING_STATE_ROLLUP_PMC[#Headers],0)),"ERROR"))</f>
        <v>104.42857142859999</v>
      </c>
      <c r="I48" s="155">
        <f>IF($B48=" ","",IFERROR(INDEX(MMWR_RATING_STATE_ROLLUP_PMC[],MATCH($B48,MMWR_RATING_STATE_ROLLUP_PMC[MMWR_RATING_STATE_ROLLUP_PMC],0),MATCH(I$9,MMWR_RATING_STATE_ROLLUP_PMC[#Headers],0)),"ERROR"))</f>
        <v>99.382158590299994</v>
      </c>
      <c r="J48" s="42"/>
      <c r="K48" s="42"/>
      <c r="L48" s="42"/>
      <c r="M48" s="42"/>
      <c r="N48" s="28"/>
    </row>
    <row r="49" spans="1:14" x14ac:dyDescent="0.2">
      <c r="A49" s="25"/>
      <c r="B49" s="342" t="s">
        <v>1038</v>
      </c>
      <c r="C49" s="343"/>
      <c r="D49" s="343"/>
      <c r="E49" s="343"/>
      <c r="F49" s="343"/>
      <c r="G49" s="343"/>
      <c r="H49" s="343"/>
      <c r="I49" s="343"/>
      <c r="J49" s="343"/>
      <c r="K49" s="343"/>
      <c r="L49" s="343"/>
      <c r="M49" s="393"/>
      <c r="N49" s="28"/>
    </row>
    <row r="50" spans="1:14" x14ac:dyDescent="0.2">
      <c r="A50" s="25"/>
      <c r="B50" s="41" t="s">
        <v>1037</v>
      </c>
      <c r="C50" s="154">
        <f>IF($B50=" ","",IFERROR(INDEX(MMWR_RATING_STATE_ROLLUP_QST[],MATCH($B50,MMWR_RATING_STATE_ROLLUP_QST[MMWR_RATING_STATE_ROLLUP_QST],0),MATCH(C$9,MMWR_RATING_STATE_ROLLUP_QST[#Headers],0)),"ERROR"))</f>
        <v>7335</v>
      </c>
      <c r="D50" s="155">
        <f>IF($B50=" ","",IFERROR(INDEX(MMWR_RATING_STATE_ROLLUP_QST[],MATCH($B50,MMWR_RATING_STATE_ROLLUP_QST[MMWR_RATING_STATE_ROLLUP_QST],0),MATCH(D$9,MMWR_RATING_STATE_ROLLUP_QST[#Headers],0)),"ERROR"))</f>
        <v>70.155555555600003</v>
      </c>
      <c r="E50" s="156">
        <f>IF($B50=" ","",IFERROR(INDEX(MMWR_RATING_STATE_ROLLUP_QST[],MATCH($B50,MMWR_RATING_STATE_ROLLUP_QST[MMWR_RATING_STATE_ROLLUP_QST],0),MATCH(E$9,MMWR_RATING_STATE_ROLLUP_QST[#Headers],0))/$C50,"ERROR"))</f>
        <v>0.12256305385139742</v>
      </c>
      <c r="F50" s="154">
        <f>IF($B50=" ","",IFERROR(INDEX(MMWR_RATING_STATE_ROLLUP_QST[],MATCH($B50,MMWR_RATING_STATE_ROLLUP_QST[MMWR_RATING_STATE_ROLLUP_QST],0),MATCH(F$9,MMWR_RATING_STATE_ROLLUP_QST[#Headers],0)),"ERROR"))</f>
        <v>2133</v>
      </c>
      <c r="G50" s="154">
        <f>IF($B50=" ","",IFERROR(INDEX(MMWR_RATING_STATE_ROLLUP_QST[],MATCH($B50,MMWR_RATING_STATE_ROLLUP_QST[MMWR_RATING_STATE_ROLLUP_QST],0),MATCH(G$9,MMWR_RATING_STATE_ROLLUP_QST[#Headers],0)),"ERROR"))</f>
        <v>21355</v>
      </c>
      <c r="H50" s="155">
        <f>IF($B50=" ","",IFERROR(INDEX(MMWR_RATING_STATE_ROLLUP_QST[],MATCH($B50,MMWR_RATING_STATE_ROLLUP_QST[MMWR_RATING_STATE_ROLLUP_QST],0),MATCH(H$9,MMWR_RATING_STATE_ROLLUP_QST[#Headers],0)),"ERROR"))</f>
        <v>116.4571026723</v>
      </c>
      <c r="I50" s="155">
        <f>IF($B50=" ","",IFERROR(INDEX(MMWR_RATING_STATE_ROLLUP_QST[],MATCH($B50,MMWR_RATING_STATE_ROLLUP_QST[MMWR_RATING_STATE_ROLLUP_QST],0),MATCH(I$9,MMWR_RATING_STATE_ROLLUP_QST[#Headers],0)),"ERROR"))</f>
        <v>137.91266682279999</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1759</v>
      </c>
      <c r="D51" s="155">
        <f>IF($B51=" ","",IFERROR(INDEX(MMWR_RATING_STATE_ROLLUP_QST[],MATCH($B51,MMWR_RATING_STATE_ROLLUP_QST[MMWR_RATING_STATE_ROLLUP_QST],0),MATCH(D$9,MMWR_RATING_STATE_ROLLUP_QST[#Headers],0)),"ERROR"))</f>
        <v>71.3075611143</v>
      </c>
      <c r="E51" s="156">
        <f>IF($B51=" ","",IFERROR(INDEX(MMWR_RATING_STATE_ROLLUP_QST[],MATCH($B51,MMWR_RATING_STATE_ROLLUP_QST[MMWR_RATING_STATE_ROLLUP_QST],0),MATCH(E$9,MMWR_RATING_STATE_ROLLUP_QST[#Headers],0))/$C51,"ERROR"))</f>
        <v>0.11313246162592382</v>
      </c>
      <c r="F51" s="154">
        <f>IF($B51=" ","",IFERROR(INDEX(MMWR_RATING_STATE_ROLLUP_QST[],MATCH($B51,MMWR_RATING_STATE_ROLLUP_QST[MMWR_RATING_STATE_ROLLUP_QST],0),MATCH(F$9,MMWR_RATING_STATE_ROLLUP_QST[#Headers],0)),"ERROR"))</f>
        <v>461</v>
      </c>
      <c r="G51" s="154">
        <f>IF($B51=" ","",IFERROR(INDEX(MMWR_RATING_STATE_ROLLUP_QST[],MATCH($B51,MMWR_RATING_STATE_ROLLUP_QST[MMWR_RATING_STATE_ROLLUP_QST],0),MATCH(G$9,MMWR_RATING_STATE_ROLLUP_QST[#Headers],0)),"ERROR"))</f>
        <v>4690</v>
      </c>
      <c r="H51" s="155">
        <f>IF($B51=" ","",IFERROR(INDEX(MMWR_RATING_STATE_ROLLUP_QST[],MATCH($B51,MMWR_RATING_STATE_ROLLUP_QST[MMWR_RATING_STATE_ROLLUP_QST],0),MATCH(H$9,MMWR_RATING_STATE_ROLLUP_QST[#Headers],0)),"ERROR"))</f>
        <v>120.2646420824</v>
      </c>
      <c r="I51" s="155">
        <f>IF($B51=" ","",IFERROR(INDEX(MMWR_RATING_STATE_ROLLUP_QST[],MATCH($B51,MMWR_RATING_STATE_ROLLUP_QST[MMWR_RATING_STATE_ROLLUP_QST],0),MATCH(I$9,MMWR_RATING_STATE_ROLLUP_QST[#Headers],0)),"ERROR"))</f>
        <v>147.1825159915</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48</v>
      </c>
      <c r="D52" s="155">
        <f>IF($B52=" ","",IFERROR(INDEX(MMWR_RATING_STATE_ROLLUP_QST[],MATCH($B52,MMWR_RATING_STATE_ROLLUP_QST[MMWR_RATING_STATE_ROLLUP_QST],0),MATCH(D$9,MMWR_RATING_STATE_ROLLUP_QST[#Headers],0)),"ERROR"))</f>
        <v>67</v>
      </c>
      <c r="E52" s="156">
        <f>IF($B52=" ","",IFERROR(INDEX(MMWR_RATING_STATE_ROLLUP_QST[],MATCH($B52,MMWR_RATING_STATE_ROLLUP_QST[MMWR_RATING_STATE_ROLLUP_QST],0),MATCH(E$9,MMWR_RATING_STATE_ROLLUP_QST[#Headers],0))/$C52,"ERROR"))</f>
        <v>0.10416666666666667</v>
      </c>
      <c r="F52" s="154">
        <f>IF($B52=" ","",IFERROR(INDEX(MMWR_RATING_STATE_ROLLUP_QST[],MATCH($B52,MMWR_RATING_STATE_ROLLUP_QST[MMWR_RATING_STATE_ROLLUP_QST],0),MATCH(F$9,MMWR_RATING_STATE_ROLLUP_QST[#Headers],0)),"ERROR"))</f>
        <v>13</v>
      </c>
      <c r="G52" s="154">
        <f>IF($B52=" ","",IFERROR(INDEX(MMWR_RATING_STATE_ROLLUP_QST[],MATCH($B52,MMWR_RATING_STATE_ROLLUP_QST[MMWR_RATING_STATE_ROLLUP_QST],0),MATCH(G$9,MMWR_RATING_STATE_ROLLUP_QST[#Headers],0)),"ERROR"))</f>
        <v>121</v>
      </c>
      <c r="H52" s="155">
        <f>IF($B52=" ","",IFERROR(INDEX(MMWR_RATING_STATE_ROLLUP_QST[],MATCH($B52,MMWR_RATING_STATE_ROLLUP_QST[MMWR_RATING_STATE_ROLLUP_QST],0),MATCH(H$9,MMWR_RATING_STATE_ROLLUP_QST[#Headers],0)),"ERROR"))</f>
        <v>88.769230769200007</v>
      </c>
      <c r="I52" s="155">
        <f>IF($B52=" ","",IFERROR(INDEX(MMWR_RATING_STATE_ROLLUP_QST[],MATCH($B52,MMWR_RATING_STATE_ROLLUP_QST[MMWR_RATING_STATE_ROLLUP_QST],0),MATCH(I$9,MMWR_RATING_STATE_ROLLUP_QST[#Headers],0)),"ERROR"))</f>
        <v>135.39669421490001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11</v>
      </c>
      <c r="D53" s="155">
        <f>IF($B53=" ","",IFERROR(INDEX(MMWR_RATING_STATE_ROLLUP_QST[],MATCH($B53,MMWR_RATING_STATE_ROLLUP_QST[MMWR_RATING_STATE_ROLLUP_QST],0),MATCH(D$9,MMWR_RATING_STATE_ROLLUP_QST[#Headers],0)),"ERROR"))</f>
        <v>54.090909090899999</v>
      </c>
      <c r="E53" s="156">
        <f>IF($B53=" ","",IFERROR(INDEX(MMWR_RATING_STATE_ROLLUP_QST[],MATCH($B53,MMWR_RATING_STATE_ROLLUP_QST[MMWR_RATING_STATE_ROLLUP_QST],0),MATCH(E$9,MMWR_RATING_STATE_ROLLUP_QST[#Headers],0))/$C53,"ERROR"))</f>
        <v>9.0909090909090912E-2</v>
      </c>
      <c r="F53" s="154">
        <f>IF($B53=" ","",IFERROR(INDEX(MMWR_RATING_STATE_ROLLUP_QST[],MATCH($B53,MMWR_RATING_STATE_ROLLUP_QST[MMWR_RATING_STATE_ROLLUP_QST],0),MATCH(F$9,MMWR_RATING_STATE_ROLLUP_QST[#Headers],0)),"ERROR"))</f>
        <v>10</v>
      </c>
      <c r="G53" s="154">
        <f>IF($B53=" ","",IFERROR(INDEX(MMWR_RATING_STATE_ROLLUP_QST[],MATCH($B53,MMWR_RATING_STATE_ROLLUP_QST[MMWR_RATING_STATE_ROLLUP_QST],0),MATCH(G$9,MMWR_RATING_STATE_ROLLUP_QST[#Headers],0)),"ERROR"))</f>
        <v>41</v>
      </c>
      <c r="H53" s="155">
        <f>IF($B53=" ","",IFERROR(INDEX(MMWR_RATING_STATE_ROLLUP_QST[],MATCH($B53,MMWR_RATING_STATE_ROLLUP_QST[MMWR_RATING_STATE_ROLLUP_QST],0),MATCH(H$9,MMWR_RATING_STATE_ROLLUP_QST[#Headers],0)),"ERROR"))</f>
        <v>151.1</v>
      </c>
      <c r="I53" s="155">
        <f>IF($B53=" ","",IFERROR(INDEX(MMWR_RATING_STATE_ROLLUP_QST[],MATCH($B53,MMWR_RATING_STATE_ROLLUP_QST[MMWR_RATING_STATE_ROLLUP_QST],0),MATCH(I$9,MMWR_RATING_STATE_ROLLUP_QST[#Headers],0)),"ERROR"))</f>
        <v>155.0243902439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7</v>
      </c>
      <c r="D54" s="155">
        <f>IF($B54=" ","",IFERROR(INDEX(MMWR_RATING_STATE_ROLLUP_QST[],MATCH($B54,MMWR_RATING_STATE_ROLLUP_QST[MMWR_RATING_STATE_ROLLUP_QST],0),MATCH(D$9,MMWR_RATING_STATE_ROLLUP_QST[#Headers],0)),"ERROR"))</f>
        <v>54</v>
      </c>
      <c r="E54" s="156">
        <f>IF($B54=" ","",IFERROR(INDEX(MMWR_RATING_STATE_ROLLUP_QST[],MATCH($B54,MMWR_RATING_STATE_ROLLUP_QST[MMWR_RATING_STATE_ROLLUP_QST],0),MATCH(E$9,MMWR_RATING_STATE_ROLLUP_QST[#Headers],0))/$C54,"ERROR"))</f>
        <v>0</v>
      </c>
      <c r="F54" s="154">
        <f>IF($B54=" ","",IFERROR(INDEX(MMWR_RATING_STATE_ROLLUP_QST[],MATCH($B54,MMWR_RATING_STATE_ROLLUP_QST[MMWR_RATING_STATE_ROLLUP_QST],0),MATCH(F$9,MMWR_RATING_STATE_ROLLUP_QST[#Headers],0)),"ERROR"))</f>
        <v>6</v>
      </c>
      <c r="G54" s="154">
        <f>IF($B54=" ","",IFERROR(INDEX(MMWR_RATING_STATE_ROLLUP_QST[],MATCH($B54,MMWR_RATING_STATE_ROLLUP_QST[MMWR_RATING_STATE_ROLLUP_QST],0),MATCH(G$9,MMWR_RATING_STATE_ROLLUP_QST[#Headers],0)),"ERROR"))</f>
        <v>39</v>
      </c>
      <c r="H54" s="155">
        <f>IF($B54=" ","",IFERROR(INDEX(MMWR_RATING_STATE_ROLLUP_QST[],MATCH($B54,MMWR_RATING_STATE_ROLLUP_QST[MMWR_RATING_STATE_ROLLUP_QST],0),MATCH(H$9,MMWR_RATING_STATE_ROLLUP_QST[#Headers],0)),"ERROR"))</f>
        <v>114.1666666667</v>
      </c>
      <c r="I54" s="155">
        <f>IF($B54=" ","",IFERROR(INDEX(MMWR_RATING_STATE_ROLLUP_QST[],MATCH($B54,MMWR_RATING_STATE_ROLLUP_QST[MMWR_RATING_STATE_ROLLUP_QST],0),MATCH(I$9,MMWR_RATING_STATE_ROLLUP_QST[#Headers],0)),"ERROR"))</f>
        <v>152.30769230769999</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10</v>
      </c>
      <c r="D55" s="155">
        <f>IF($B55=" ","",IFERROR(INDEX(MMWR_RATING_STATE_ROLLUP_QST[],MATCH($B55,MMWR_RATING_STATE_ROLLUP_QST[MMWR_RATING_STATE_ROLLUP_QST],0),MATCH(D$9,MMWR_RATING_STATE_ROLLUP_QST[#Headers],0)),"ERROR"))</f>
        <v>93.7</v>
      </c>
      <c r="E55" s="156">
        <f>IF($B55=" ","",IFERROR(INDEX(MMWR_RATING_STATE_ROLLUP_QST[],MATCH($B55,MMWR_RATING_STATE_ROLLUP_QST[MMWR_RATING_STATE_ROLLUP_QST],0),MATCH(E$9,MMWR_RATING_STATE_ROLLUP_QST[#Headers],0))/$C55,"ERROR"))</f>
        <v>0.2</v>
      </c>
      <c r="F55" s="154">
        <f>IF($B55=" ","",IFERROR(INDEX(MMWR_RATING_STATE_ROLLUP_QST[],MATCH($B55,MMWR_RATING_STATE_ROLLUP_QST[MMWR_RATING_STATE_ROLLUP_QST],0),MATCH(F$9,MMWR_RATING_STATE_ROLLUP_QST[#Headers],0)),"ERROR"))</f>
        <v>4</v>
      </c>
      <c r="G55" s="154">
        <f>IF($B55=" ","",IFERROR(INDEX(MMWR_RATING_STATE_ROLLUP_QST[],MATCH($B55,MMWR_RATING_STATE_ROLLUP_QST[MMWR_RATING_STATE_ROLLUP_QST],0),MATCH(G$9,MMWR_RATING_STATE_ROLLUP_QST[#Headers],0)),"ERROR"))</f>
        <v>50</v>
      </c>
      <c r="H55" s="155">
        <f>IF($B55=" ","",IFERROR(INDEX(MMWR_RATING_STATE_ROLLUP_QST[],MATCH($B55,MMWR_RATING_STATE_ROLLUP_QST[MMWR_RATING_STATE_ROLLUP_QST],0),MATCH(H$9,MMWR_RATING_STATE_ROLLUP_QST[#Headers],0)),"ERROR"))</f>
        <v>122.5</v>
      </c>
      <c r="I55" s="155">
        <f>IF($B55=" ","",IFERROR(INDEX(MMWR_RATING_STATE_ROLLUP_QST[],MATCH($B55,MMWR_RATING_STATE_ROLLUP_QST[MMWR_RATING_STATE_ROLLUP_QST],0),MATCH(I$9,MMWR_RATING_STATE_ROLLUP_QST[#Headers],0)),"ERROR"))</f>
        <v>144.72</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147</v>
      </c>
      <c r="D56" s="155">
        <f>IF($B56=" ","",IFERROR(INDEX(MMWR_RATING_STATE_ROLLUP_QST[],MATCH($B56,MMWR_RATING_STATE_ROLLUP_QST[MMWR_RATING_STATE_ROLLUP_QST],0),MATCH(D$9,MMWR_RATING_STATE_ROLLUP_QST[#Headers],0)),"ERROR"))</f>
        <v>77.986394557799997</v>
      </c>
      <c r="E56" s="156">
        <f>IF($B56=" ","",IFERROR(INDEX(MMWR_RATING_STATE_ROLLUP_QST[],MATCH($B56,MMWR_RATING_STATE_ROLLUP_QST[MMWR_RATING_STATE_ROLLUP_QST],0),MATCH(E$9,MMWR_RATING_STATE_ROLLUP_QST[#Headers],0))/$C56,"ERROR"))</f>
        <v>0.1360544217687075</v>
      </c>
      <c r="F56" s="154">
        <f>IF($B56=" ","",IFERROR(INDEX(MMWR_RATING_STATE_ROLLUP_QST[],MATCH($B56,MMWR_RATING_STATE_ROLLUP_QST[MMWR_RATING_STATE_ROLLUP_QST],0),MATCH(F$9,MMWR_RATING_STATE_ROLLUP_QST[#Headers],0)),"ERROR"))</f>
        <v>44</v>
      </c>
      <c r="G56" s="154">
        <f>IF($B56=" ","",IFERROR(INDEX(MMWR_RATING_STATE_ROLLUP_QST[],MATCH($B56,MMWR_RATING_STATE_ROLLUP_QST[MMWR_RATING_STATE_ROLLUP_QST],0),MATCH(G$9,MMWR_RATING_STATE_ROLLUP_QST[#Headers],0)),"ERROR"))</f>
        <v>505</v>
      </c>
      <c r="H56" s="155">
        <f>IF($B56=" ","",IFERROR(INDEX(MMWR_RATING_STATE_ROLLUP_QST[],MATCH($B56,MMWR_RATING_STATE_ROLLUP_QST[MMWR_RATING_STATE_ROLLUP_QST],0),MATCH(H$9,MMWR_RATING_STATE_ROLLUP_QST[#Headers],0)),"ERROR"))</f>
        <v>111.4772727273</v>
      </c>
      <c r="I56" s="155">
        <f>IF($B56=" ","",IFERROR(INDEX(MMWR_RATING_STATE_ROLLUP_QST[],MATCH($B56,MMWR_RATING_STATE_ROLLUP_QST[MMWR_RATING_STATE_ROLLUP_QST],0),MATCH(I$9,MMWR_RATING_STATE_ROLLUP_QST[#Headers],0)),"ERROR"))</f>
        <v>145.64356435639999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70</v>
      </c>
      <c r="D57" s="155">
        <f>IF($B57=" ","",IFERROR(INDEX(MMWR_RATING_STATE_ROLLUP_QST[],MATCH($B57,MMWR_RATING_STATE_ROLLUP_QST[MMWR_RATING_STATE_ROLLUP_QST],0),MATCH(D$9,MMWR_RATING_STATE_ROLLUP_QST[#Headers],0)),"ERROR"))</f>
        <v>60.971428571399997</v>
      </c>
      <c r="E57" s="156">
        <f>IF($B57=" ","",IFERROR(INDEX(MMWR_RATING_STATE_ROLLUP_QST[],MATCH($B57,MMWR_RATING_STATE_ROLLUP_QST[MMWR_RATING_STATE_ROLLUP_QST],0),MATCH(E$9,MMWR_RATING_STATE_ROLLUP_QST[#Headers],0))/$C57,"ERROR"))</f>
        <v>7.1428571428571425E-2</v>
      </c>
      <c r="F57" s="154">
        <f>IF($B57=" ","",IFERROR(INDEX(MMWR_RATING_STATE_ROLLUP_QST[],MATCH($B57,MMWR_RATING_STATE_ROLLUP_QST[MMWR_RATING_STATE_ROLLUP_QST],0),MATCH(F$9,MMWR_RATING_STATE_ROLLUP_QST[#Headers],0)),"ERROR"))</f>
        <v>19</v>
      </c>
      <c r="G57" s="154">
        <f>IF($B57=" ","",IFERROR(INDEX(MMWR_RATING_STATE_ROLLUP_QST[],MATCH($B57,MMWR_RATING_STATE_ROLLUP_QST[MMWR_RATING_STATE_ROLLUP_QST],0),MATCH(G$9,MMWR_RATING_STATE_ROLLUP_QST[#Headers],0)),"ERROR"))</f>
        <v>193</v>
      </c>
      <c r="H57" s="155">
        <f>IF($B57=" ","",IFERROR(INDEX(MMWR_RATING_STATE_ROLLUP_QST[],MATCH($B57,MMWR_RATING_STATE_ROLLUP_QST[MMWR_RATING_STATE_ROLLUP_QST],0),MATCH(H$9,MMWR_RATING_STATE_ROLLUP_QST[#Headers],0)),"ERROR"))</f>
        <v>91.368421052599999</v>
      </c>
      <c r="I57" s="155">
        <f>IF($B57=" ","",IFERROR(INDEX(MMWR_RATING_STATE_ROLLUP_QST[],MATCH($B57,MMWR_RATING_STATE_ROLLUP_QST[MMWR_RATING_STATE_ROLLUP_QST],0),MATCH(I$9,MMWR_RATING_STATE_ROLLUP_QST[#Headers],0)),"ERROR"))</f>
        <v>137.22279792750001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21</v>
      </c>
      <c r="D58" s="155">
        <f>IF($B58=" ","",IFERROR(INDEX(MMWR_RATING_STATE_ROLLUP_QST[],MATCH($B58,MMWR_RATING_STATE_ROLLUP_QST[MMWR_RATING_STATE_ROLLUP_QST],0),MATCH(D$9,MMWR_RATING_STATE_ROLLUP_QST[#Headers],0)),"ERROR"))</f>
        <v>69.428571428599994</v>
      </c>
      <c r="E58" s="156">
        <f>IF($B58=" ","",IFERROR(INDEX(MMWR_RATING_STATE_ROLLUP_QST[],MATCH($B58,MMWR_RATING_STATE_ROLLUP_QST[MMWR_RATING_STATE_ROLLUP_QST],0),MATCH(E$9,MMWR_RATING_STATE_ROLLUP_QST[#Headers],0))/$C58,"ERROR"))</f>
        <v>9.5238095238095233E-2</v>
      </c>
      <c r="F58" s="154">
        <f>IF($B58=" ","",IFERROR(INDEX(MMWR_RATING_STATE_ROLLUP_QST[],MATCH($B58,MMWR_RATING_STATE_ROLLUP_QST[MMWR_RATING_STATE_ROLLUP_QST],0),MATCH(F$9,MMWR_RATING_STATE_ROLLUP_QST[#Headers],0)),"ERROR"))</f>
        <v>6</v>
      </c>
      <c r="G58" s="154">
        <f>IF($B58=" ","",IFERROR(INDEX(MMWR_RATING_STATE_ROLLUP_QST[],MATCH($B58,MMWR_RATING_STATE_ROLLUP_QST[MMWR_RATING_STATE_ROLLUP_QST],0),MATCH(G$9,MMWR_RATING_STATE_ROLLUP_QST[#Headers],0)),"ERROR"))</f>
        <v>52</v>
      </c>
      <c r="H58" s="155">
        <f>IF($B58=" ","",IFERROR(INDEX(MMWR_RATING_STATE_ROLLUP_QST[],MATCH($B58,MMWR_RATING_STATE_ROLLUP_QST[MMWR_RATING_STATE_ROLLUP_QST],0),MATCH(H$9,MMWR_RATING_STATE_ROLLUP_QST[#Headers],0)),"ERROR"))</f>
        <v>93</v>
      </c>
      <c r="I58" s="155">
        <f>IF($B58=" ","",IFERROR(INDEX(MMWR_RATING_STATE_ROLLUP_QST[],MATCH($B58,MMWR_RATING_STATE_ROLLUP_QST[MMWR_RATING_STATE_ROLLUP_QST],0),MATCH(I$9,MMWR_RATING_STATE_ROLLUP_QST[#Headers],0)),"ERROR"))</f>
        <v>144.23076923080001</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88</v>
      </c>
      <c r="D59" s="155">
        <f>IF($B59=" ","",IFERROR(INDEX(MMWR_RATING_STATE_ROLLUP_QST[],MATCH($B59,MMWR_RATING_STATE_ROLLUP_QST[MMWR_RATING_STATE_ROLLUP_QST],0),MATCH(D$9,MMWR_RATING_STATE_ROLLUP_QST[#Headers],0)),"ERROR"))</f>
        <v>65.102272727300004</v>
      </c>
      <c r="E59" s="156">
        <f>IF($B59=" ","",IFERROR(INDEX(MMWR_RATING_STATE_ROLLUP_QST[],MATCH($B59,MMWR_RATING_STATE_ROLLUP_QST[MMWR_RATING_STATE_ROLLUP_QST],0),MATCH(E$9,MMWR_RATING_STATE_ROLLUP_QST[#Headers],0))/$C59,"ERROR"))</f>
        <v>0.13636363636363635</v>
      </c>
      <c r="F59" s="154">
        <f>IF($B59=" ","",IFERROR(INDEX(MMWR_RATING_STATE_ROLLUP_QST[],MATCH($B59,MMWR_RATING_STATE_ROLLUP_QST[MMWR_RATING_STATE_ROLLUP_QST],0),MATCH(F$9,MMWR_RATING_STATE_ROLLUP_QST[#Headers],0)),"ERROR"))</f>
        <v>27</v>
      </c>
      <c r="G59" s="154">
        <f>IF($B59=" ","",IFERROR(INDEX(MMWR_RATING_STATE_ROLLUP_QST[],MATCH($B59,MMWR_RATING_STATE_ROLLUP_QST[MMWR_RATING_STATE_ROLLUP_QST],0),MATCH(G$9,MMWR_RATING_STATE_ROLLUP_QST[#Headers],0)),"ERROR"))</f>
        <v>229</v>
      </c>
      <c r="H59" s="155">
        <f>IF($B59=" ","",IFERROR(INDEX(MMWR_RATING_STATE_ROLLUP_QST[],MATCH($B59,MMWR_RATING_STATE_ROLLUP_QST[MMWR_RATING_STATE_ROLLUP_QST],0),MATCH(H$9,MMWR_RATING_STATE_ROLLUP_QST[#Headers],0)),"ERROR"))</f>
        <v>122.3333333333</v>
      </c>
      <c r="I59" s="155">
        <f>IF($B59=" ","",IFERROR(INDEX(MMWR_RATING_STATE_ROLLUP_QST[],MATCH($B59,MMWR_RATING_STATE_ROLLUP_QST[MMWR_RATING_STATE_ROLLUP_QST],0),MATCH(I$9,MMWR_RATING_STATE_ROLLUP_QST[#Headers],0)),"ERROR"))</f>
        <v>145.1877729258</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203</v>
      </c>
      <c r="D60" s="155">
        <f>IF($B60=" ","",IFERROR(INDEX(MMWR_RATING_STATE_ROLLUP_QST[],MATCH($B60,MMWR_RATING_STATE_ROLLUP_QST[MMWR_RATING_STATE_ROLLUP_QST],0),MATCH(D$9,MMWR_RATING_STATE_ROLLUP_QST[#Headers],0)),"ERROR"))</f>
        <v>63.8965517241</v>
      </c>
      <c r="E60" s="156">
        <f>IF($B60=" ","",IFERROR(INDEX(MMWR_RATING_STATE_ROLLUP_QST[],MATCH($B60,MMWR_RATING_STATE_ROLLUP_QST[MMWR_RATING_STATE_ROLLUP_QST],0),MATCH(E$9,MMWR_RATING_STATE_ROLLUP_QST[#Headers],0))/$C60,"ERROR"))</f>
        <v>8.3743842364532015E-2</v>
      </c>
      <c r="F60" s="154">
        <f>IF($B60=" ","",IFERROR(INDEX(MMWR_RATING_STATE_ROLLUP_QST[],MATCH($B60,MMWR_RATING_STATE_ROLLUP_QST[MMWR_RATING_STATE_ROLLUP_QST],0),MATCH(F$9,MMWR_RATING_STATE_ROLLUP_QST[#Headers],0)),"ERROR"))</f>
        <v>60</v>
      </c>
      <c r="G60" s="154">
        <f>IF($B60=" ","",IFERROR(INDEX(MMWR_RATING_STATE_ROLLUP_QST[],MATCH($B60,MMWR_RATING_STATE_ROLLUP_QST[MMWR_RATING_STATE_ROLLUP_QST],0),MATCH(G$9,MMWR_RATING_STATE_ROLLUP_QST[#Headers],0)),"ERROR"))</f>
        <v>515</v>
      </c>
      <c r="H60" s="155">
        <f>IF($B60=" ","",IFERROR(INDEX(MMWR_RATING_STATE_ROLLUP_QST[],MATCH($B60,MMWR_RATING_STATE_ROLLUP_QST[MMWR_RATING_STATE_ROLLUP_QST],0),MATCH(H$9,MMWR_RATING_STATE_ROLLUP_QST[#Headers],0)),"ERROR"))</f>
        <v>113.4333333333</v>
      </c>
      <c r="I60" s="155">
        <f>IF($B60=" ","",IFERROR(INDEX(MMWR_RATING_STATE_ROLLUP_QST[],MATCH($B60,MMWR_RATING_STATE_ROLLUP_QST[MMWR_RATING_STATE_ROLLUP_QST],0),MATCH(I$9,MMWR_RATING_STATE_ROLLUP_QST[#Headers],0)),"ERROR"))</f>
        <v>138.2368932039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461</v>
      </c>
      <c r="D61" s="155">
        <f>IF($B61=" ","",IFERROR(INDEX(MMWR_RATING_STATE_ROLLUP_QST[],MATCH($B61,MMWR_RATING_STATE_ROLLUP_QST[MMWR_RATING_STATE_ROLLUP_QST],0),MATCH(D$9,MMWR_RATING_STATE_ROLLUP_QST[#Headers],0)),"ERROR"))</f>
        <v>74.4121475054</v>
      </c>
      <c r="E61" s="156">
        <f>IF($B61=" ","",IFERROR(INDEX(MMWR_RATING_STATE_ROLLUP_QST[],MATCH($B61,MMWR_RATING_STATE_ROLLUP_QST[MMWR_RATING_STATE_ROLLUP_QST],0),MATCH(E$9,MMWR_RATING_STATE_ROLLUP_QST[#Headers],0))/$C61,"ERROR"))</f>
        <v>0.12147505422993492</v>
      </c>
      <c r="F61" s="154">
        <f>IF($B61=" ","",IFERROR(INDEX(MMWR_RATING_STATE_ROLLUP_QST[],MATCH($B61,MMWR_RATING_STATE_ROLLUP_QST[MMWR_RATING_STATE_ROLLUP_QST],0),MATCH(F$9,MMWR_RATING_STATE_ROLLUP_QST[#Headers],0)),"ERROR"))</f>
        <v>90</v>
      </c>
      <c r="G61" s="154">
        <f>IF($B61=" ","",IFERROR(INDEX(MMWR_RATING_STATE_ROLLUP_QST[],MATCH($B61,MMWR_RATING_STATE_ROLLUP_QST[MMWR_RATING_STATE_ROLLUP_QST],0),MATCH(G$9,MMWR_RATING_STATE_ROLLUP_QST[#Headers],0)),"ERROR"))</f>
        <v>1129</v>
      </c>
      <c r="H61" s="155">
        <f>IF($B61=" ","",IFERROR(INDEX(MMWR_RATING_STATE_ROLLUP_QST[],MATCH($B61,MMWR_RATING_STATE_ROLLUP_QST[MMWR_RATING_STATE_ROLLUP_QST],0),MATCH(H$9,MMWR_RATING_STATE_ROLLUP_QST[#Headers],0)),"ERROR"))</f>
        <v>124.55555555559999</v>
      </c>
      <c r="I61" s="155">
        <f>IF($B61=" ","",IFERROR(INDEX(MMWR_RATING_STATE_ROLLUP_QST[],MATCH($B61,MMWR_RATING_STATE_ROLLUP_QST[MMWR_RATING_STATE_ROLLUP_QST],0),MATCH(I$9,MMWR_RATING_STATE_ROLLUP_QST[#Headers],0)),"ERROR"))</f>
        <v>150.0097431355</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160</v>
      </c>
      <c r="D62" s="155">
        <f>IF($B62=" ","",IFERROR(INDEX(MMWR_RATING_STATE_ROLLUP_QST[],MATCH($B62,MMWR_RATING_STATE_ROLLUP_QST[MMWR_RATING_STATE_ROLLUP_QST],0),MATCH(D$9,MMWR_RATING_STATE_ROLLUP_QST[#Headers],0)),"ERROR"))</f>
        <v>66.612499999999997</v>
      </c>
      <c r="E62" s="156">
        <f>IF($B62=" ","",IFERROR(INDEX(MMWR_RATING_STATE_ROLLUP_QST[],MATCH($B62,MMWR_RATING_STATE_ROLLUP_QST[MMWR_RATING_STATE_ROLLUP_QST],0),MATCH(E$9,MMWR_RATING_STATE_ROLLUP_QST[#Headers],0))/$C62,"ERROR"))</f>
        <v>0.10625</v>
      </c>
      <c r="F62" s="154">
        <f>IF($B62=" ","",IFERROR(INDEX(MMWR_RATING_STATE_ROLLUP_QST[],MATCH($B62,MMWR_RATING_STATE_ROLLUP_QST[MMWR_RATING_STATE_ROLLUP_QST],0),MATCH(F$9,MMWR_RATING_STATE_ROLLUP_QST[#Headers],0)),"ERROR"))</f>
        <v>39</v>
      </c>
      <c r="G62" s="154">
        <f>IF($B62=" ","",IFERROR(INDEX(MMWR_RATING_STATE_ROLLUP_QST[],MATCH($B62,MMWR_RATING_STATE_ROLLUP_QST[MMWR_RATING_STATE_ROLLUP_QST],0),MATCH(G$9,MMWR_RATING_STATE_ROLLUP_QST[#Headers],0)),"ERROR"))</f>
        <v>418</v>
      </c>
      <c r="H62" s="155">
        <f>IF($B62=" ","",IFERROR(INDEX(MMWR_RATING_STATE_ROLLUP_QST[],MATCH($B62,MMWR_RATING_STATE_ROLLUP_QST[MMWR_RATING_STATE_ROLLUP_QST],0),MATCH(H$9,MMWR_RATING_STATE_ROLLUP_QST[#Headers],0)),"ERROR"))</f>
        <v>117.8974358974</v>
      </c>
      <c r="I62" s="155">
        <f>IF($B62=" ","",IFERROR(INDEX(MMWR_RATING_STATE_ROLLUP_QST[],MATCH($B62,MMWR_RATING_STATE_ROLLUP_QST[MMWR_RATING_STATE_ROLLUP_QST],0),MATCH(I$9,MMWR_RATING_STATE_ROLLUP_QST[#Headers],0)),"ERROR"))</f>
        <v>141.2105263158</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6</v>
      </c>
      <c r="D63" s="155">
        <f>IF($B63=" ","",IFERROR(INDEX(MMWR_RATING_STATE_ROLLUP_QST[],MATCH($B63,MMWR_RATING_STATE_ROLLUP_QST[MMWR_RATING_STATE_ROLLUP_QST],0),MATCH(D$9,MMWR_RATING_STATE_ROLLUP_QST[#Headers],0)),"ERROR"))</f>
        <v>63</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28</v>
      </c>
      <c r="H63" s="155">
        <f>IF($B63=" ","",IFERROR(INDEX(MMWR_RATING_STATE_ROLLUP_QST[],MATCH($B63,MMWR_RATING_STATE_ROLLUP_QST[MMWR_RATING_STATE_ROLLUP_QST],0),MATCH(H$9,MMWR_RATING_STATE_ROLLUP_QST[#Headers],0)),"ERROR"))</f>
        <v>78</v>
      </c>
      <c r="I63" s="155">
        <f>IF($B63=" ","",IFERROR(INDEX(MMWR_RATING_STATE_ROLLUP_QST[],MATCH($B63,MMWR_RATING_STATE_ROLLUP_QST[MMWR_RATING_STATE_ROLLUP_QST],0),MATCH(I$9,MMWR_RATING_STATE_ROLLUP_QST[#Headers],0)),"ERROR"))</f>
        <v>153.82142857139999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7</v>
      </c>
      <c r="D64" s="155">
        <f>IF($B64=" ","",IFERROR(INDEX(MMWR_RATING_STATE_ROLLUP_QST[],MATCH($B64,MMWR_RATING_STATE_ROLLUP_QST[MMWR_RATING_STATE_ROLLUP_QST],0),MATCH(D$9,MMWR_RATING_STATE_ROLLUP_QST[#Headers],0)),"ERROR"))</f>
        <v>39.142857142899999</v>
      </c>
      <c r="E64" s="156">
        <f>IF($B64=" ","",IFERROR(INDEX(MMWR_RATING_STATE_ROLLUP_QST[],MATCH($B64,MMWR_RATING_STATE_ROLLUP_QST[MMWR_RATING_STATE_ROLLUP_QST],0),MATCH(E$9,MMWR_RATING_STATE_ROLLUP_QST[#Headers],0))/$C64,"ERROR"))</f>
        <v>0</v>
      </c>
      <c r="F64" s="154">
        <f>IF($B64=" ","",IFERROR(INDEX(MMWR_RATING_STATE_ROLLUP_QST[],MATCH($B64,MMWR_RATING_STATE_ROLLUP_QST[MMWR_RATING_STATE_ROLLUP_QST],0),MATCH(F$9,MMWR_RATING_STATE_ROLLUP_QST[#Headers],0)),"ERROR"))</f>
        <v>2</v>
      </c>
      <c r="G64" s="154">
        <f>IF($B64=" ","",IFERROR(INDEX(MMWR_RATING_STATE_ROLLUP_QST[],MATCH($B64,MMWR_RATING_STATE_ROLLUP_QST[MMWR_RATING_STATE_ROLLUP_QST],0),MATCH(G$9,MMWR_RATING_STATE_ROLLUP_QST[#Headers],0)),"ERROR"))</f>
        <v>13</v>
      </c>
      <c r="H64" s="155">
        <f>IF($B64=" ","",IFERROR(INDEX(MMWR_RATING_STATE_ROLLUP_QST[],MATCH($B64,MMWR_RATING_STATE_ROLLUP_QST[MMWR_RATING_STATE_ROLLUP_QST],0),MATCH(H$9,MMWR_RATING_STATE_ROLLUP_QST[#Headers],0)),"ERROR"))</f>
        <v>171.5</v>
      </c>
      <c r="I64" s="155">
        <f>IF($B64=" ","",IFERROR(INDEX(MMWR_RATING_STATE_ROLLUP_QST[],MATCH($B64,MMWR_RATING_STATE_ROLLUP_QST[MMWR_RATING_STATE_ROLLUP_QST],0),MATCH(I$9,MMWR_RATING_STATE_ROLLUP_QST[#Headers],0)),"ERROR"))</f>
        <v>148.61538461539999</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500</v>
      </c>
      <c r="D65" s="155">
        <f>IF($B65=" ","",IFERROR(INDEX(MMWR_RATING_STATE_ROLLUP_QST[],MATCH($B65,MMWR_RATING_STATE_ROLLUP_QST[MMWR_RATING_STATE_ROLLUP_QST],0),MATCH(D$9,MMWR_RATING_STATE_ROLLUP_QST[#Headers],0)),"ERROR"))</f>
        <v>74.843999999999994</v>
      </c>
      <c r="E65" s="156">
        <f>IF($B65=" ","",IFERROR(INDEX(MMWR_RATING_STATE_ROLLUP_QST[],MATCH($B65,MMWR_RATING_STATE_ROLLUP_QST[MMWR_RATING_STATE_ROLLUP_QST],0),MATCH(E$9,MMWR_RATING_STATE_ROLLUP_QST[#Headers],0))/$C65,"ERROR"))</f>
        <v>0.12</v>
      </c>
      <c r="F65" s="154">
        <f>IF($B65=" ","",IFERROR(INDEX(MMWR_RATING_STATE_ROLLUP_QST[],MATCH($B65,MMWR_RATING_STATE_ROLLUP_QST[MMWR_RATING_STATE_ROLLUP_QST],0),MATCH(F$9,MMWR_RATING_STATE_ROLLUP_QST[#Headers],0)),"ERROR"))</f>
        <v>135</v>
      </c>
      <c r="G65" s="154">
        <f>IF($B65=" ","",IFERROR(INDEX(MMWR_RATING_STATE_ROLLUP_QST[],MATCH($B65,MMWR_RATING_STATE_ROLLUP_QST[MMWR_RATING_STATE_ROLLUP_QST],0),MATCH(G$9,MMWR_RATING_STATE_ROLLUP_QST[#Headers],0)),"ERROR"))</f>
        <v>1311</v>
      </c>
      <c r="H65" s="155">
        <f>IF($B65=" ","",IFERROR(INDEX(MMWR_RATING_STATE_ROLLUP_QST[],MATCH($B65,MMWR_RATING_STATE_ROLLUP_QST[MMWR_RATING_STATE_ROLLUP_QST],0),MATCH(H$9,MMWR_RATING_STATE_ROLLUP_QST[#Headers],0)),"ERROR"))</f>
        <v>130.2962962963</v>
      </c>
      <c r="I65" s="155">
        <f>IF($B65=" ","",IFERROR(INDEX(MMWR_RATING_STATE_ROLLUP_QST[],MATCH($B65,MMWR_RATING_STATE_ROLLUP_QST[MMWR_RATING_STATE_ROLLUP_QST],0),MATCH(I$9,MMWR_RATING_STATE_ROLLUP_QST[#Headers],0)),"ERROR"))</f>
        <v>153.56292906179999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20</v>
      </c>
      <c r="D66" s="155">
        <f>IF($B66=" ","",IFERROR(INDEX(MMWR_RATING_STATE_ROLLUP_QST[],MATCH($B66,MMWR_RATING_STATE_ROLLUP_QST[MMWR_RATING_STATE_ROLLUP_QST],0),MATCH(D$9,MMWR_RATING_STATE_ROLLUP_QST[#Headers],0)),"ERROR"))</f>
        <v>68.900000000000006</v>
      </c>
      <c r="E66" s="156">
        <f>IF($B66=" ","",IFERROR(INDEX(MMWR_RATING_STATE_ROLLUP_QST[],MATCH($B66,MMWR_RATING_STATE_ROLLUP_QST[MMWR_RATING_STATE_ROLLUP_QST],0),MATCH(E$9,MMWR_RATING_STATE_ROLLUP_QST[#Headers],0))/$C66,"ERROR"))</f>
        <v>0.1</v>
      </c>
      <c r="F66" s="154">
        <f>IF($B66=" ","",IFERROR(INDEX(MMWR_RATING_STATE_ROLLUP_QST[],MATCH($B66,MMWR_RATING_STATE_ROLLUP_QST[MMWR_RATING_STATE_ROLLUP_QST],0),MATCH(F$9,MMWR_RATING_STATE_ROLLUP_QST[#Headers],0)),"ERROR"))</f>
        <v>5</v>
      </c>
      <c r="G66" s="154">
        <f>IF($B66=" ","",IFERROR(INDEX(MMWR_RATING_STATE_ROLLUP_QST[],MATCH($B66,MMWR_RATING_STATE_ROLLUP_QST[MMWR_RATING_STATE_ROLLUP_QST],0),MATCH(G$9,MMWR_RATING_STATE_ROLLUP_QST[#Headers],0)),"ERROR"))</f>
        <v>46</v>
      </c>
      <c r="H66" s="155">
        <f>IF($B66=" ","",IFERROR(INDEX(MMWR_RATING_STATE_ROLLUP_QST[],MATCH($B66,MMWR_RATING_STATE_ROLLUP_QST[MMWR_RATING_STATE_ROLLUP_QST],0),MATCH(H$9,MMWR_RATING_STATE_ROLLUP_QST[#Headers],0)),"ERROR"))</f>
        <v>95</v>
      </c>
      <c r="I66" s="155">
        <f>IF($B66=" ","",IFERROR(INDEX(MMWR_RATING_STATE_ROLLUP_QST[],MATCH($B66,MMWR_RATING_STATE_ROLLUP_QST[MMWR_RATING_STATE_ROLLUP_QST],0),MATCH(I$9,MMWR_RATING_STATE_ROLLUP_QST[#Headers],0)),"ERROR"))</f>
        <v>140.21739130430001</v>
      </c>
      <c r="J66" s="42"/>
      <c r="K66" s="42"/>
      <c r="L66" s="42"/>
      <c r="M66" s="42"/>
      <c r="N66" s="28"/>
    </row>
    <row r="67" spans="1:14" x14ac:dyDescent="0.2">
      <c r="A67" s="25"/>
      <c r="B67" s="342" t="s">
        <v>1039</v>
      </c>
      <c r="C67" s="343"/>
      <c r="D67" s="343"/>
      <c r="E67" s="343"/>
      <c r="F67" s="343"/>
      <c r="G67" s="343"/>
      <c r="H67" s="343"/>
      <c r="I67" s="343"/>
      <c r="J67" s="343"/>
      <c r="K67" s="343"/>
      <c r="L67" s="343"/>
      <c r="M67" s="393"/>
      <c r="N67" s="28"/>
    </row>
    <row r="68" spans="1:14" ht="25.5" x14ac:dyDescent="0.2">
      <c r="A68" s="25"/>
      <c r="B68" s="250" t="s">
        <v>1035</v>
      </c>
      <c r="C68" s="154">
        <f>IF($B68=" ","",IFERROR(INDEX(MMWR_RATING_STATE_ROLLUP_BDD[],MATCH($B68,MMWR_RATING_STATE_ROLLUP_BDD[MMWR_RATING_STATE_ROLLUP_BDD],0),MATCH(C$9,MMWR_RATING_STATE_ROLLUP_BDD[#Headers],0)),"ERROR"))</f>
        <v>7311</v>
      </c>
      <c r="D68" s="155">
        <f>IF($B68=" ","",IFERROR(INDEX(MMWR_RATING_STATE_ROLLUP_BDD[],MATCH($B68,MMWR_RATING_STATE_ROLLUP_BDD[MMWR_RATING_STATE_ROLLUP_BDD],0),MATCH(D$9,MMWR_RATING_STATE_ROLLUP_BDD[#Headers],0)),"ERROR"))</f>
        <v>68.699357133099994</v>
      </c>
      <c r="E68" s="156">
        <f>IF($B68=" ","",IFERROR(INDEX(MMWR_RATING_STATE_ROLLUP_BDD[],MATCH($B68,MMWR_RATING_STATE_ROLLUP_BDD[MMWR_RATING_STATE_ROLLUP_BDD],0),MATCH(E$9,MMWR_RATING_STATE_ROLLUP_BDD[#Headers],0))/$C68,"ERROR"))</f>
        <v>0.11120229790726303</v>
      </c>
      <c r="F68" s="154">
        <f>IF($B68=" ","",IFERROR(INDEX(MMWR_RATING_STATE_ROLLUP_BDD[],MATCH($B68,MMWR_RATING_STATE_ROLLUP_BDD[MMWR_RATING_STATE_ROLLUP_BDD],0),MATCH(F$9,MMWR_RATING_STATE_ROLLUP_BDD[#Headers],0)),"ERROR"))</f>
        <v>2031</v>
      </c>
      <c r="G68" s="154">
        <f>IF($B68=" ","",IFERROR(INDEX(MMWR_RATING_STATE_ROLLUP_BDD[],MATCH($B68,MMWR_RATING_STATE_ROLLUP_BDD[MMWR_RATING_STATE_ROLLUP_BDD],0),MATCH(G$9,MMWR_RATING_STATE_ROLLUP_BDD[#Headers],0)),"ERROR"))</f>
        <v>24276</v>
      </c>
      <c r="H68" s="155">
        <f>IF($B68=" ","",IFERROR(INDEX(MMWR_RATING_STATE_ROLLUP_BDD[],MATCH($B68,MMWR_RATING_STATE_ROLLUP_BDD[MMWR_RATING_STATE_ROLLUP_BDD],0),MATCH(H$9,MMWR_RATING_STATE_ROLLUP_BDD[#Headers],0)),"ERROR"))</f>
        <v>117.06302314129999</v>
      </c>
      <c r="I68" s="155">
        <f>IF($B68=" ","",IFERROR(INDEX(MMWR_RATING_STATE_ROLLUP_BDD[],MATCH($B68,MMWR_RATING_STATE_ROLLUP_BDD[MMWR_RATING_STATE_ROLLUP_BDD],0),MATCH(I$9,MMWR_RATING_STATE_ROLLUP_BDD[#Headers],0)),"ERROR"))</f>
        <v>131.1221782831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1939</v>
      </c>
      <c r="D69" s="155">
        <f>IF($B69=" ","",IFERROR(INDEX(MMWR_RATING_STATE_ROLLUP_BDD[],MATCH($B69,MMWR_RATING_STATE_ROLLUP_BDD[MMWR_RATING_STATE_ROLLUP_BDD],0),MATCH(D$9,MMWR_RATING_STATE_ROLLUP_BDD[#Headers],0)),"ERROR"))</f>
        <v>64.790097988699998</v>
      </c>
      <c r="E69" s="156">
        <f>IF($B69=" ","",IFERROR(INDEX(MMWR_RATING_STATE_ROLLUP_BDD[],MATCH($B69,MMWR_RATING_STATE_ROLLUP_BDD[MMWR_RATING_STATE_ROLLUP_BDD],0),MATCH(E$9,MMWR_RATING_STATE_ROLLUP_BDD[#Headers],0))/$C69,"ERROR"))</f>
        <v>9.4894275399690559E-2</v>
      </c>
      <c r="F69" s="154">
        <f>IF($B69=" ","",IFERROR(INDEX(MMWR_RATING_STATE_ROLLUP_BDD[],MATCH($B69,MMWR_RATING_STATE_ROLLUP_BDD[MMWR_RATING_STATE_ROLLUP_BDD],0),MATCH(F$9,MMWR_RATING_STATE_ROLLUP_BDD[#Headers],0)),"ERROR"))</f>
        <v>526</v>
      </c>
      <c r="G69" s="154">
        <f>IF($B69=" ","",IFERROR(INDEX(MMWR_RATING_STATE_ROLLUP_BDD[],MATCH($B69,MMWR_RATING_STATE_ROLLUP_BDD[MMWR_RATING_STATE_ROLLUP_BDD],0),MATCH(G$9,MMWR_RATING_STATE_ROLLUP_BDD[#Headers],0)),"ERROR"))</f>
        <v>6407</v>
      </c>
      <c r="H69" s="155">
        <f>IF($B69=" ","",IFERROR(INDEX(MMWR_RATING_STATE_ROLLUP_BDD[],MATCH($B69,MMWR_RATING_STATE_ROLLUP_BDD[MMWR_RATING_STATE_ROLLUP_BDD],0),MATCH(H$9,MMWR_RATING_STATE_ROLLUP_BDD[#Headers],0)),"ERROR"))</f>
        <v>124.4809885932</v>
      </c>
      <c r="I69" s="155">
        <f>IF($B69=" ","",IFERROR(INDEX(MMWR_RATING_STATE_ROLLUP_BDD[],MATCH($B69,MMWR_RATING_STATE_ROLLUP_BDD[MMWR_RATING_STATE_ROLLUP_BDD],0),MATCH(I$9,MMWR_RATING_STATE_ROLLUP_BDD[#Headers],0)),"ERROR"))</f>
        <v>141.364913376</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29</v>
      </c>
      <c r="D70" s="155">
        <f>IF($B70=" ","",IFERROR(INDEX(MMWR_RATING_STATE_ROLLUP_BDD[],MATCH($B70,MMWR_RATING_STATE_ROLLUP_BDD[MMWR_RATING_STATE_ROLLUP_BDD],0),MATCH(D$9,MMWR_RATING_STATE_ROLLUP_BDD[#Headers],0)),"ERROR"))</f>
        <v>63.482758620699997</v>
      </c>
      <c r="E70" s="156">
        <f>IF($B70=" ","",IFERROR(INDEX(MMWR_RATING_STATE_ROLLUP_BDD[],MATCH($B70,MMWR_RATING_STATE_ROLLUP_BDD[MMWR_RATING_STATE_ROLLUP_BDD],0),MATCH(E$9,MMWR_RATING_STATE_ROLLUP_BDD[#Headers],0))/$C70,"ERROR"))</f>
        <v>3.4482758620689655E-2</v>
      </c>
      <c r="F70" s="154">
        <f>IF($B70=" ","",IFERROR(INDEX(MMWR_RATING_STATE_ROLLUP_BDD[],MATCH($B70,MMWR_RATING_STATE_ROLLUP_BDD[MMWR_RATING_STATE_ROLLUP_BDD],0),MATCH(F$9,MMWR_RATING_STATE_ROLLUP_BDD[#Headers],0)),"ERROR"))</f>
        <v>7</v>
      </c>
      <c r="G70" s="154">
        <f>IF($B70=" ","",IFERROR(INDEX(MMWR_RATING_STATE_ROLLUP_BDD[],MATCH($B70,MMWR_RATING_STATE_ROLLUP_BDD[MMWR_RATING_STATE_ROLLUP_BDD],0),MATCH(G$9,MMWR_RATING_STATE_ROLLUP_BDD[#Headers],0)),"ERROR"))</f>
        <v>134</v>
      </c>
      <c r="H70" s="155">
        <f>IF($B70=" ","",IFERROR(INDEX(MMWR_RATING_STATE_ROLLUP_BDD[],MATCH($B70,MMWR_RATING_STATE_ROLLUP_BDD[MMWR_RATING_STATE_ROLLUP_BDD],0),MATCH(H$9,MMWR_RATING_STATE_ROLLUP_BDD[#Headers],0)),"ERROR"))</f>
        <v>154.8571428571</v>
      </c>
      <c r="I70" s="155">
        <f>IF($B70=" ","",IFERROR(INDEX(MMWR_RATING_STATE_ROLLUP_BDD[],MATCH($B70,MMWR_RATING_STATE_ROLLUP_BDD[MMWR_RATING_STATE_ROLLUP_BDD],0),MATCH(I$9,MMWR_RATING_STATE_ROLLUP_BDD[#Headers],0)),"ERROR"))</f>
        <v>135.45522388059999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16</v>
      </c>
      <c r="D71" s="155">
        <f>IF($B71=" ","",IFERROR(INDEX(MMWR_RATING_STATE_ROLLUP_BDD[],MATCH($B71,MMWR_RATING_STATE_ROLLUP_BDD[MMWR_RATING_STATE_ROLLUP_BDD],0),MATCH(D$9,MMWR_RATING_STATE_ROLLUP_BDD[#Headers],0)),"ERROR"))</f>
        <v>72.625</v>
      </c>
      <c r="E71" s="156">
        <f>IF($B71=" ","",IFERROR(INDEX(MMWR_RATING_STATE_ROLLUP_BDD[],MATCH($B71,MMWR_RATING_STATE_ROLLUP_BDD[MMWR_RATING_STATE_ROLLUP_BDD],0),MATCH(E$9,MMWR_RATING_STATE_ROLLUP_BDD[#Headers],0))/$C71,"ERROR"))</f>
        <v>0.1875</v>
      </c>
      <c r="F71" s="154">
        <f>IF($B71=" ","",IFERROR(INDEX(MMWR_RATING_STATE_ROLLUP_BDD[],MATCH($B71,MMWR_RATING_STATE_ROLLUP_BDD[MMWR_RATING_STATE_ROLLUP_BDD],0),MATCH(F$9,MMWR_RATING_STATE_ROLLUP_BDD[#Headers],0)),"ERROR"))</f>
        <v>6</v>
      </c>
      <c r="G71" s="154">
        <f>IF($B71=" ","",IFERROR(INDEX(MMWR_RATING_STATE_ROLLUP_BDD[],MATCH($B71,MMWR_RATING_STATE_ROLLUP_BDD[MMWR_RATING_STATE_ROLLUP_BDD],0),MATCH(G$9,MMWR_RATING_STATE_ROLLUP_BDD[#Headers],0)),"ERROR"))</f>
        <v>53</v>
      </c>
      <c r="H71" s="155">
        <f>IF($B71=" ","",IFERROR(INDEX(MMWR_RATING_STATE_ROLLUP_BDD[],MATCH($B71,MMWR_RATING_STATE_ROLLUP_BDD[MMWR_RATING_STATE_ROLLUP_BDD],0),MATCH(H$9,MMWR_RATING_STATE_ROLLUP_BDD[#Headers],0)),"ERROR"))</f>
        <v>146</v>
      </c>
      <c r="I71" s="155">
        <f>IF($B71=" ","",IFERROR(INDEX(MMWR_RATING_STATE_ROLLUP_BDD[],MATCH($B71,MMWR_RATING_STATE_ROLLUP_BDD[MMWR_RATING_STATE_ROLLUP_BDD],0),MATCH(I$9,MMWR_RATING_STATE_ROLLUP_BDD[#Headers],0)),"ERROR"))</f>
        <v>151.86792452829999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11</v>
      </c>
      <c r="D72" s="155">
        <f>IF($B72=" ","",IFERROR(INDEX(MMWR_RATING_STATE_ROLLUP_BDD[],MATCH($B72,MMWR_RATING_STATE_ROLLUP_BDD[MMWR_RATING_STATE_ROLLUP_BDD],0),MATCH(D$9,MMWR_RATING_STATE_ROLLUP_BDD[#Headers],0)),"ERROR"))</f>
        <v>44.363636363600001</v>
      </c>
      <c r="E72" s="156">
        <f>IF($B72=" ","",IFERROR(INDEX(MMWR_RATING_STATE_ROLLUP_BDD[],MATCH($B72,MMWR_RATING_STATE_ROLLUP_BDD[MMWR_RATING_STATE_ROLLUP_BDD],0),MATCH(E$9,MMWR_RATING_STATE_ROLLUP_BDD[#Headers],0))/$C72,"ERROR"))</f>
        <v>0</v>
      </c>
      <c r="F72" s="154">
        <f>IF($B72=" ","",IFERROR(INDEX(MMWR_RATING_STATE_ROLLUP_BDD[],MATCH($B72,MMWR_RATING_STATE_ROLLUP_BDD[MMWR_RATING_STATE_ROLLUP_BDD],0),MATCH(F$9,MMWR_RATING_STATE_ROLLUP_BDD[#Headers],0)),"ERROR"))</f>
        <v>7</v>
      </c>
      <c r="G72" s="154">
        <f>IF($B72=" ","",IFERROR(INDEX(MMWR_RATING_STATE_ROLLUP_BDD[],MATCH($B72,MMWR_RATING_STATE_ROLLUP_BDD[MMWR_RATING_STATE_ROLLUP_BDD],0),MATCH(G$9,MMWR_RATING_STATE_ROLLUP_BDD[#Headers],0)),"ERROR"))</f>
        <v>55</v>
      </c>
      <c r="H72" s="155">
        <f>IF($B72=" ","",IFERROR(INDEX(MMWR_RATING_STATE_ROLLUP_BDD[],MATCH($B72,MMWR_RATING_STATE_ROLLUP_BDD[MMWR_RATING_STATE_ROLLUP_BDD],0),MATCH(H$9,MMWR_RATING_STATE_ROLLUP_BDD[#Headers],0)),"ERROR"))</f>
        <v>91</v>
      </c>
      <c r="I72" s="155">
        <f>IF($B72=" ","",IFERROR(INDEX(MMWR_RATING_STATE_ROLLUP_BDD[],MATCH($B72,MMWR_RATING_STATE_ROLLUP_BDD[MMWR_RATING_STATE_ROLLUP_BDD],0),MATCH(I$9,MMWR_RATING_STATE_ROLLUP_BDD[#Headers],0)),"ERROR"))</f>
        <v>130.7636363636</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12</v>
      </c>
      <c r="D73" s="155">
        <f>IF($B73=" ","",IFERROR(INDEX(MMWR_RATING_STATE_ROLLUP_BDD[],MATCH($B73,MMWR_RATING_STATE_ROLLUP_BDD[MMWR_RATING_STATE_ROLLUP_BDD],0),MATCH(D$9,MMWR_RATING_STATE_ROLLUP_BDD[#Headers],0)),"ERROR"))</f>
        <v>39</v>
      </c>
      <c r="E73" s="156">
        <f>IF($B73=" ","",IFERROR(INDEX(MMWR_RATING_STATE_ROLLUP_BDD[],MATCH($B73,MMWR_RATING_STATE_ROLLUP_BDD[MMWR_RATING_STATE_ROLLUP_BDD],0),MATCH(E$9,MMWR_RATING_STATE_ROLLUP_BDD[#Headers],0))/$C73,"ERROR"))</f>
        <v>0</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52</v>
      </c>
      <c r="H73" s="155">
        <f>IF($B73=" ","",IFERROR(INDEX(MMWR_RATING_STATE_ROLLUP_BDD[],MATCH($B73,MMWR_RATING_STATE_ROLLUP_BDD[MMWR_RATING_STATE_ROLLUP_BDD],0),MATCH(H$9,MMWR_RATING_STATE_ROLLUP_BDD[#Headers],0)),"ERROR"))</f>
        <v>36</v>
      </c>
      <c r="I73" s="155">
        <f>IF($B73=" ","",IFERROR(INDEX(MMWR_RATING_STATE_ROLLUP_BDD[],MATCH($B73,MMWR_RATING_STATE_ROLLUP_BDD[MMWR_RATING_STATE_ROLLUP_BDD],0),MATCH(I$9,MMWR_RATING_STATE_ROLLUP_BDD[#Headers],0)),"ERROR"))</f>
        <v>132.05769230769999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171</v>
      </c>
      <c r="D74" s="155">
        <f>IF($B74=" ","",IFERROR(INDEX(MMWR_RATING_STATE_ROLLUP_BDD[],MATCH($B74,MMWR_RATING_STATE_ROLLUP_BDD[MMWR_RATING_STATE_ROLLUP_BDD],0),MATCH(D$9,MMWR_RATING_STATE_ROLLUP_BDD[#Headers],0)),"ERROR"))</f>
        <v>70.906432748499995</v>
      </c>
      <c r="E74" s="156">
        <f>IF($B74=" ","",IFERROR(INDEX(MMWR_RATING_STATE_ROLLUP_BDD[],MATCH($B74,MMWR_RATING_STATE_ROLLUP_BDD[MMWR_RATING_STATE_ROLLUP_BDD],0),MATCH(E$9,MMWR_RATING_STATE_ROLLUP_BDD[#Headers],0))/$C74,"ERROR"))</f>
        <v>9.3567251461988299E-2</v>
      </c>
      <c r="F74" s="154">
        <f>IF($B74=" ","",IFERROR(INDEX(MMWR_RATING_STATE_ROLLUP_BDD[],MATCH($B74,MMWR_RATING_STATE_ROLLUP_BDD[MMWR_RATING_STATE_ROLLUP_BDD],0),MATCH(F$9,MMWR_RATING_STATE_ROLLUP_BDD[#Headers],0)),"ERROR"))</f>
        <v>68</v>
      </c>
      <c r="G74" s="154">
        <f>IF($B74=" ","",IFERROR(INDEX(MMWR_RATING_STATE_ROLLUP_BDD[],MATCH($B74,MMWR_RATING_STATE_ROLLUP_BDD[MMWR_RATING_STATE_ROLLUP_BDD],0),MATCH(G$9,MMWR_RATING_STATE_ROLLUP_BDD[#Headers],0)),"ERROR"))</f>
        <v>705</v>
      </c>
      <c r="H74" s="155">
        <f>IF($B74=" ","",IFERROR(INDEX(MMWR_RATING_STATE_ROLLUP_BDD[],MATCH($B74,MMWR_RATING_STATE_ROLLUP_BDD[MMWR_RATING_STATE_ROLLUP_BDD],0),MATCH(H$9,MMWR_RATING_STATE_ROLLUP_BDD[#Headers],0)),"ERROR"))</f>
        <v>122.0294117647</v>
      </c>
      <c r="I74" s="155">
        <f>IF($B74=" ","",IFERROR(INDEX(MMWR_RATING_STATE_ROLLUP_BDD[],MATCH($B74,MMWR_RATING_STATE_ROLLUP_BDD[MMWR_RATING_STATE_ROLLUP_BDD],0),MATCH(I$9,MMWR_RATING_STATE_ROLLUP_BDD[#Headers],0)),"ERROR"))</f>
        <v>142.6666666667</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49</v>
      </c>
      <c r="D75" s="155">
        <f>IF($B75=" ","",IFERROR(INDEX(MMWR_RATING_STATE_ROLLUP_BDD[],MATCH($B75,MMWR_RATING_STATE_ROLLUP_BDD[MMWR_RATING_STATE_ROLLUP_BDD],0),MATCH(D$9,MMWR_RATING_STATE_ROLLUP_BDD[#Headers],0)),"ERROR"))</f>
        <v>55.938775510200003</v>
      </c>
      <c r="E75" s="156">
        <f>IF($B75=" ","",IFERROR(INDEX(MMWR_RATING_STATE_ROLLUP_BDD[],MATCH($B75,MMWR_RATING_STATE_ROLLUP_BDD[MMWR_RATING_STATE_ROLLUP_BDD],0),MATCH(E$9,MMWR_RATING_STATE_ROLLUP_BDD[#Headers],0))/$C75,"ERROR"))</f>
        <v>2.0408163265306121E-2</v>
      </c>
      <c r="F75" s="154">
        <f>IF($B75=" ","",IFERROR(INDEX(MMWR_RATING_STATE_ROLLUP_BDD[],MATCH($B75,MMWR_RATING_STATE_ROLLUP_BDD[MMWR_RATING_STATE_ROLLUP_BDD],0),MATCH(F$9,MMWR_RATING_STATE_ROLLUP_BDD[#Headers],0)),"ERROR"))</f>
        <v>12</v>
      </c>
      <c r="G75" s="154">
        <f>IF($B75=" ","",IFERROR(INDEX(MMWR_RATING_STATE_ROLLUP_BDD[],MATCH($B75,MMWR_RATING_STATE_ROLLUP_BDD[MMWR_RATING_STATE_ROLLUP_BDD],0),MATCH(G$9,MMWR_RATING_STATE_ROLLUP_BDD[#Headers],0)),"ERROR"))</f>
        <v>118</v>
      </c>
      <c r="H75" s="155">
        <f>IF($B75=" ","",IFERROR(INDEX(MMWR_RATING_STATE_ROLLUP_BDD[],MATCH($B75,MMWR_RATING_STATE_ROLLUP_BDD[MMWR_RATING_STATE_ROLLUP_BDD],0),MATCH(H$9,MMWR_RATING_STATE_ROLLUP_BDD[#Headers],0)),"ERROR"))</f>
        <v>78.583333333300004</v>
      </c>
      <c r="I75" s="155">
        <f>IF($B75=" ","",IFERROR(INDEX(MMWR_RATING_STATE_ROLLUP_BDD[],MATCH($B75,MMWR_RATING_STATE_ROLLUP_BDD[MMWR_RATING_STATE_ROLLUP_BDD],0),MATCH(I$9,MMWR_RATING_STATE_ROLLUP_BDD[#Headers],0)),"ERROR"))</f>
        <v>124.2966101695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6</v>
      </c>
      <c r="D76" s="155">
        <f>IF($B76=" ","",IFERROR(INDEX(MMWR_RATING_STATE_ROLLUP_BDD[],MATCH($B76,MMWR_RATING_STATE_ROLLUP_BDD[MMWR_RATING_STATE_ROLLUP_BDD],0),MATCH(D$9,MMWR_RATING_STATE_ROLLUP_BDD[#Headers],0)),"ERROR"))</f>
        <v>52</v>
      </c>
      <c r="E76" s="156">
        <f>IF($B76=" ","",IFERROR(INDEX(MMWR_RATING_STATE_ROLLUP_BDD[],MATCH($B76,MMWR_RATING_STATE_ROLLUP_BDD[MMWR_RATING_STATE_ROLLUP_BDD],0),MATCH(E$9,MMWR_RATING_STATE_ROLLUP_BDD[#Headers],0))/$C76,"ERROR"))</f>
        <v>0.16666666666666666</v>
      </c>
      <c r="F76" s="154">
        <f>IF($B76=" ","",IFERROR(INDEX(MMWR_RATING_STATE_ROLLUP_BDD[],MATCH($B76,MMWR_RATING_STATE_ROLLUP_BDD[MMWR_RATING_STATE_ROLLUP_BDD],0),MATCH(F$9,MMWR_RATING_STATE_ROLLUP_BDD[#Headers],0)),"ERROR"))</f>
        <v>3</v>
      </c>
      <c r="G76" s="154">
        <f>IF($B76=" ","",IFERROR(INDEX(MMWR_RATING_STATE_ROLLUP_BDD[],MATCH($B76,MMWR_RATING_STATE_ROLLUP_BDD[MMWR_RATING_STATE_ROLLUP_BDD],0),MATCH(G$9,MMWR_RATING_STATE_ROLLUP_BDD[#Headers],0)),"ERROR"))</f>
        <v>50</v>
      </c>
      <c r="H76" s="155">
        <f>IF($B76=" ","",IFERROR(INDEX(MMWR_RATING_STATE_ROLLUP_BDD[],MATCH($B76,MMWR_RATING_STATE_ROLLUP_BDD[MMWR_RATING_STATE_ROLLUP_BDD],0),MATCH(H$9,MMWR_RATING_STATE_ROLLUP_BDD[#Headers],0)),"ERROR"))</f>
        <v>226.6666666667</v>
      </c>
      <c r="I76" s="155">
        <f>IF($B76=" ","",IFERROR(INDEX(MMWR_RATING_STATE_ROLLUP_BDD[],MATCH($B76,MMWR_RATING_STATE_ROLLUP_BDD[MMWR_RATING_STATE_ROLLUP_BDD],0),MATCH(I$9,MMWR_RATING_STATE_ROLLUP_BDD[#Headers],0)),"ERROR"))</f>
        <v>138.36000000000001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67</v>
      </c>
      <c r="D77" s="155">
        <f>IF($B77=" ","",IFERROR(INDEX(MMWR_RATING_STATE_ROLLUP_BDD[],MATCH($B77,MMWR_RATING_STATE_ROLLUP_BDD[MMWR_RATING_STATE_ROLLUP_BDD],0),MATCH(D$9,MMWR_RATING_STATE_ROLLUP_BDD[#Headers],0)),"ERROR"))</f>
        <v>64.865671641800006</v>
      </c>
      <c r="E77" s="156">
        <f>IF($B77=" ","",IFERROR(INDEX(MMWR_RATING_STATE_ROLLUP_BDD[],MATCH($B77,MMWR_RATING_STATE_ROLLUP_BDD[MMWR_RATING_STATE_ROLLUP_BDD],0),MATCH(E$9,MMWR_RATING_STATE_ROLLUP_BDD[#Headers],0))/$C77,"ERROR"))</f>
        <v>0.11940298507462686</v>
      </c>
      <c r="F77" s="154">
        <f>IF($B77=" ","",IFERROR(INDEX(MMWR_RATING_STATE_ROLLUP_BDD[],MATCH($B77,MMWR_RATING_STATE_ROLLUP_BDD[MMWR_RATING_STATE_ROLLUP_BDD],0),MATCH(F$9,MMWR_RATING_STATE_ROLLUP_BDD[#Headers],0)),"ERROR"))</f>
        <v>17</v>
      </c>
      <c r="G77" s="154">
        <f>IF($B77=" ","",IFERROR(INDEX(MMWR_RATING_STATE_ROLLUP_BDD[],MATCH($B77,MMWR_RATING_STATE_ROLLUP_BDD[MMWR_RATING_STATE_ROLLUP_BDD],0),MATCH(G$9,MMWR_RATING_STATE_ROLLUP_BDD[#Headers],0)),"ERROR"))</f>
        <v>175</v>
      </c>
      <c r="H77" s="155">
        <f>IF($B77=" ","",IFERROR(INDEX(MMWR_RATING_STATE_ROLLUP_BDD[],MATCH($B77,MMWR_RATING_STATE_ROLLUP_BDD[MMWR_RATING_STATE_ROLLUP_BDD],0),MATCH(H$9,MMWR_RATING_STATE_ROLLUP_BDD[#Headers],0)),"ERROR"))</f>
        <v>135.8823529412</v>
      </c>
      <c r="I77" s="155">
        <f>IF($B77=" ","",IFERROR(INDEX(MMWR_RATING_STATE_ROLLUP_BDD[],MATCH($B77,MMWR_RATING_STATE_ROLLUP_BDD[MMWR_RATING_STATE_ROLLUP_BDD],0),MATCH(I$9,MMWR_RATING_STATE_ROLLUP_BDD[#Headers],0)),"ERROR"))</f>
        <v>136.90285714289999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123</v>
      </c>
      <c r="D78" s="155">
        <f>IF($B78=" ","",IFERROR(INDEX(MMWR_RATING_STATE_ROLLUP_BDD[],MATCH($B78,MMWR_RATING_STATE_ROLLUP_BDD[MMWR_RATING_STATE_ROLLUP_BDD],0),MATCH(D$9,MMWR_RATING_STATE_ROLLUP_BDD[#Headers],0)),"ERROR"))</f>
        <v>65.593495935000007</v>
      </c>
      <c r="E78" s="156">
        <f>IF($B78=" ","",IFERROR(INDEX(MMWR_RATING_STATE_ROLLUP_BDD[],MATCH($B78,MMWR_RATING_STATE_ROLLUP_BDD[MMWR_RATING_STATE_ROLLUP_BDD],0),MATCH(E$9,MMWR_RATING_STATE_ROLLUP_BDD[#Headers],0))/$C78,"ERROR"))</f>
        <v>0.11382113821138211</v>
      </c>
      <c r="F78" s="154">
        <f>IF($B78=" ","",IFERROR(INDEX(MMWR_RATING_STATE_ROLLUP_BDD[],MATCH($B78,MMWR_RATING_STATE_ROLLUP_BDD[MMWR_RATING_STATE_ROLLUP_BDD],0),MATCH(F$9,MMWR_RATING_STATE_ROLLUP_BDD[#Headers],0)),"ERROR"))</f>
        <v>37</v>
      </c>
      <c r="G78" s="154">
        <f>IF($B78=" ","",IFERROR(INDEX(MMWR_RATING_STATE_ROLLUP_BDD[],MATCH($B78,MMWR_RATING_STATE_ROLLUP_BDD[MMWR_RATING_STATE_ROLLUP_BDD],0),MATCH(G$9,MMWR_RATING_STATE_ROLLUP_BDD[#Headers],0)),"ERROR"))</f>
        <v>373</v>
      </c>
      <c r="H78" s="155">
        <f>IF($B78=" ","",IFERROR(INDEX(MMWR_RATING_STATE_ROLLUP_BDD[],MATCH($B78,MMWR_RATING_STATE_ROLLUP_BDD[MMWR_RATING_STATE_ROLLUP_BDD],0),MATCH(H$9,MMWR_RATING_STATE_ROLLUP_BDD[#Headers],0)),"ERROR"))</f>
        <v>113.8918918919</v>
      </c>
      <c r="I78" s="155">
        <f>IF($B78=" ","",IFERROR(INDEX(MMWR_RATING_STATE_ROLLUP_BDD[],MATCH($B78,MMWR_RATING_STATE_ROLLUP_BDD[MMWR_RATING_STATE_ROLLUP_BDD],0),MATCH(I$9,MMWR_RATING_STATE_ROLLUP_BDD[#Headers],0)),"ERROR"))</f>
        <v>130.44504021450001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681</v>
      </c>
      <c r="D79" s="155">
        <f>IF($B79=" ","",IFERROR(INDEX(MMWR_RATING_STATE_ROLLUP_BDD[],MATCH($B79,MMWR_RATING_STATE_ROLLUP_BDD[MMWR_RATING_STATE_ROLLUP_BDD],0),MATCH(D$9,MMWR_RATING_STATE_ROLLUP_BDD[#Headers],0)),"ERROR"))</f>
        <v>59.283406754799998</v>
      </c>
      <c r="E79" s="156">
        <f>IF($B79=" ","",IFERROR(INDEX(MMWR_RATING_STATE_ROLLUP_BDD[],MATCH($B79,MMWR_RATING_STATE_ROLLUP_BDD[MMWR_RATING_STATE_ROLLUP_BDD],0),MATCH(E$9,MMWR_RATING_STATE_ROLLUP_BDD[#Headers],0))/$C79,"ERROR"))</f>
        <v>7.7826725403817909E-2</v>
      </c>
      <c r="F79" s="154">
        <f>IF($B79=" ","",IFERROR(INDEX(MMWR_RATING_STATE_ROLLUP_BDD[],MATCH($B79,MMWR_RATING_STATE_ROLLUP_BDD[MMWR_RATING_STATE_ROLLUP_BDD],0),MATCH(F$9,MMWR_RATING_STATE_ROLLUP_BDD[#Headers],0)),"ERROR"))</f>
        <v>156</v>
      </c>
      <c r="G79" s="154">
        <f>IF($B79=" ","",IFERROR(INDEX(MMWR_RATING_STATE_ROLLUP_BDD[],MATCH($B79,MMWR_RATING_STATE_ROLLUP_BDD[MMWR_RATING_STATE_ROLLUP_BDD],0),MATCH(G$9,MMWR_RATING_STATE_ROLLUP_BDD[#Headers],0)),"ERROR"))</f>
        <v>2029</v>
      </c>
      <c r="H79" s="155">
        <f>IF($B79=" ","",IFERROR(INDEX(MMWR_RATING_STATE_ROLLUP_BDD[],MATCH($B79,MMWR_RATING_STATE_ROLLUP_BDD[MMWR_RATING_STATE_ROLLUP_BDD],0),MATCH(H$9,MMWR_RATING_STATE_ROLLUP_BDD[#Headers],0)),"ERROR"))</f>
        <v>126.62179487180001</v>
      </c>
      <c r="I79" s="155">
        <f>IF($B79=" ","",IFERROR(INDEX(MMWR_RATING_STATE_ROLLUP_BDD[],MATCH($B79,MMWR_RATING_STATE_ROLLUP_BDD[MMWR_RATING_STATE_ROLLUP_BDD],0),MATCH(I$9,MMWR_RATING_STATE_ROLLUP_BDD[#Headers],0)),"ERROR"))</f>
        <v>141.2774765895</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112</v>
      </c>
      <c r="D80" s="155">
        <f>IF($B80=" ","",IFERROR(INDEX(MMWR_RATING_STATE_ROLLUP_BDD[],MATCH($B80,MMWR_RATING_STATE_ROLLUP_BDD[MMWR_RATING_STATE_ROLLUP_BDD],0),MATCH(D$9,MMWR_RATING_STATE_ROLLUP_BDD[#Headers],0)),"ERROR"))</f>
        <v>75.464285714300004</v>
      </c>
      <c r="E80" s="156">
        <f>IF($B80=" ","",IFERROR(INDEX(MMWR_RATING_STATE_ROLLUP_BDD[],MATCH($B80,MMWR_RATING_STATE_ROLLUP_BDD[MMWR_RATING_STATE_ROLLUP_BDD],0),MATCH(E$9,MMWR_RATING_STATE_ROLLUP_BDD[#Headers],0))/$C80,"ERROR"))</f>
        <v>0.16071428571428573</v>
      </c>
      <c r="F80" s="154">
        <f>IF($B80=" ","",IFERROR(INDEX(MMWR_RATING_STATE_ROLLUP_BDD[],MATCH($B80,MMWR_RATING_STATE_ROLLUP_BDD[MMWR_RATING_STATE_ROLLUP_BDD],0),MATCH(F$9,MMWR_RATING_STATE_ROLLUP_BDD[#Headers],0)),"ERROR"))</f>
        <v>28</v>
      </c>
      <c r="G80" s="154">
        <f>IF($B80=" ","",IFERROR(INDEX(MMWR_RATING_STATE_ROLLUP_BDD[],MATCH($B80,MMWR_RATING_STATE_ROLLUP_BDD[MMWR_RATING_STATE_ROLLUP_BDD],0),MATCH(G$9,MMWR_RATING_STATE_ROLLUP_BDD[#Headers],0)),"ERROR"))</f>
        <v>346</v>
      </c>
      <c r="H80" s="155">
        <f>IF($B80=" ","",IFERROR(INDEX(MMWR_RATING_STATE_ROLLUP_BDD[],MATCH($B80,MMWR_RATING_STATE_ROLLUP_BDD[MMWR_RATING_STATE_ROLLUP_BDD],0),MATCH(H$9,MMWR_RATING_STATE_ROLLUP_BDD[#Headers],0)),"ERROR"))</f>
        <v>132.78571428570001</v>
      </c>
      <c r="I80" s="155">
        <f>IF($B80=" ","",IFERROR(INDEX(MMWR_RATING_STATE_ROLLUP_BDD[],MATCH($B80,MMWR_RATING_STATE_ROLLUP_BDD[MMWR_RATING_STATE_ROLLUP_BDD],0),MATCH(I$9,MMWR_RATING_STATE_ROLLUP_BDD[#Headers],0)),"ERROR"))</f>
        <v>130.85838150289999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58.666666666700003</v>
      </c>
      <c r="E81" s="156">
        <f>IF($B81=" ","",IFERROR(INDEX(MMWR_RATING_STATE_ROLLUP_BDD[],MATCH($B81,MMWR_RATING_STATE_ROLLUP_BDD[MMWR_RATING_STATE_ROLLUP_BDD],0),MATCH(E$9,MMWR_RATING_STATE_ROLLUP_BDD[#Headers],0))/$C81,"ERROR"))</f>
        <v>0.1111111111111111</v>
      </c>
      <c r="F81" s="154">
        <f>IF($B81=" ","",IFERROR(INDEX(MMWR_RATING_STATE_ROLLUP_BDD[],MATCH($B81,MMWR_RATING_STATE_ROLLUP_BDD[MMWR_RATING_STATE_ROLLUP_BDD],0),MATCH(F$9,MMWR_RATING_STATE_ROLLUP_BDD[#Headers],0)),"ERROR"))</f>
        <v>2</v>
      </c>
      <c r="G81" s="154">
        <f>IF($B81=" ","",IFERROR(INDEX(MMWR_RATING_STATE_ROLLUP_BDD[],MATCH($B81,MMWR_RATING_STATE_ROLLUP_BDD[MMWR_RATING_STATE_ROLLUP_BDD],0),MATCH(G$9,MMWR_RATING_STATE_ROLLUP_BDD[#Headers],0)),"ERROR"))</f>
        <v>23</v>
      </c>
      <c r="H81" s="155">
        <f>IF($B81=" ","",IFERROR(INDEX(MMWR_RATING_STATE_ROLLUP_BDD[],MATCH($B81,MMWR_RATING_STATE_ROLLUP_BDD[MMWR_RATING_STATE_ROLLUP_BDD],0),MATCH(H$9,MMWR_RATING_STATE_ROLLUP_BDD[#Headers],0)),"ERROR"))</f>
        <v>71</v>
      </c>
      <c r="I81" s="155">
        <f>IF($B81=" ","",IFERROR(INDEX(MMWR_RATING_STATE_ROLLUP_BDD[],MATCH($B81,MMWR_RATING_STATE_ROLLUP_BDD[MMWR_RATING_STATE_ROLLUP_BDD],0),MATCH(I$9,MMWR_RATING_STATE_ROLLUP_BDD[#Headers],0)),"ERROR"))</f>
        <v>124.9565217391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6</v>
      </c>
      <c r="D82" s="155">
        <f>IF($B82=" ","",IFERROR(INDEX(MMWR_RATING_STATE_ROLLUP_BDD[],MATCH($B82,MMWR_RATING_STATE_ROLLUP_BDD[MMWR_RATING_STATE_ROLLUP_BDD],0),MATCH(D$9,MMWR_RATING_STATE_ROLLUP_BDD[#Headers],0)),"ERROR"))</f>
        <v>89.666666666699996</v>
      </c>
      <c r="E82" s="156">
        <f>IF($B82=" ","",IFERROR(INDEX(MMWR_RATING_STATE_ROLLUP_BDD[],MATCH($B82,MMWR_RATING_STATE_ROLLUP_BDD[MMWR_RATING_STATE_ROLLUP_BDD],0),MATCH(E$9,MMWR_RATING_STATE_ROLLUP_BDD[#Headers],0))/$C82,"ERROR"))</f>
        <v>0.16666666666666666</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635</v>
      </c>
      <c r="D83" s="155">
        <f>IF($B83=" ","",IFERROR(INDEX(MMWR_RATING_STATE_ROLLUP_BDD[],MATCH($B83,MMWR_RATING_STATE_ROLLUP_BDD[MMWR_RATING_STATE_ROLLUP_BDD],0),MATCH(D$9,MMWR_RATING_STATE_ROLLUP_BDD[#Headers],0)),"ERROR"))</f>
        <v>68.229921259799994</v>
      </c>
      <c r="E83" s="156">
        <f>IF($B83=" ","",IFERROR(INDEX(MMWR_RATING_STATE_ROLLUP_BDD[],MATCH($B83,MMWR_RATING_STATE_ROLLUP_BDD[MMWR_RATING_STATE_ROLLUP_BDD],0),MATCH(E$9,MMWR_RATING_STATE_ROLLUP_BDD[#Headers],0))/$C83,"ERROR"))</f>
        <v>0.10551181102362205</v>
      </c>
      <c r="F83" s="154">
        <f>IF($B83=" ","",IFERROR(INDEX(MMWR_RATING_STATE_ROLLUP_BDD[],MATCH($B83,MMWR_RATING_STATE_ROLLUP_BDD[MMWR_RATING_STATE_ROLLUP_BDD],0),MATCH(F$9,MMWR_RATING_STATE_ROLLUP_BDD[#Headers],0)),"ERROR"))</f>
        <v>177</v>
      </c>
      <c r="G83" s="154">
        <f>IF($B83=" ","",IFERROR(INDEX(MMWR_RATING_STATE_ROLLUP_BDD[],MATCH($B83,MMWR_RATING_STATE_ROLLUP_BDD[MMWR_RATING_STATE_ROLLUP_BDD],0),MATCH(G$9,MMWR_RATING_STATE_ROLLUP_BDD[#Headers],0)),"ERROR"))</f>
        <v>2207</v>
      </c>
      <c r="H83" s="155">
        <f>IF($B83=" ","",IFERROR(INDEX(MMWR_RATING_STATE_ROLLUP_BDD[],MATCH($B83,MMWR_RATING_STATE_ROLLUP_BDD[MMWR_RATING_STATE_ROLLUP_BDD],0),MATCH(H$9,MMWR_RATING_STATE_ROLLUP_BDD[#Headers],0)),"ERROR"))</f>
        <v>127.42372881359999</v>
      </c>
      <c r="I83" s="155">
        <f>IF($B83=" ","",IFERROR(INDEX(MMWR_RATING_STATE_ROLLUP_BDD[],MATCH($B83,MMWR_RATING_STATE_ROLLUP_BDD[MMWR_RATING_STATE_ROLLUP_BDD],0),MATCH(I$9,MMWR_RATING_STATE_ROLLUP_BDD[#Headers],0)),"ERROR"))</f>
        <v>147.2931581332</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12</v>
      </c>
      <c r="D84" s="155">
        <f>IF($B84=" ","",IFERROR(INDEX(MMWR_RATING_STATE_ROLLUP_BDD[],MATCH($B84,MMWR_RATING_STATE_ROLLUP_BDD[MMWR_RATING_STATE_ROLLUP_BDD],0),MATCH(D$9,MMWR_RATING_STATE_ROLLUP_BDD[#Headers],0)),"ERROR"))</f>
        <v>71.75</v>
      </c>
      <c r="E84" s="156">
        <f>IF($B84=" ","",IFERROR(INDEX(MMWR_RATING_STATE_ROLLUP_BDD[],MATCH($B84,MMWR_RATING_STATE_ROLLUP_BDD[MMWR_RATING_STATE_ROLLUP_BDD],0),MATCH(E$9,MMWR_RATING_STATE_ROLLUP_BDD[#Headers],0))/$C84,"ERROR"))</f>
        <v>0</v>
      </c>
      <c r="F84" s="154">
        <f>IF($B84=" ","",IFERROR(INDEX(MMWR_RATING_STATE_ROLLUP_BDD[],MATCH($B84,MMWR_RATING_STATE_ROLLUP_BDD[MMWR_RATING_STATE_ROLLUP_BDD],0),MATCH(F$9,MMWR_RATING_STATE_ROLLUP_BDD[#Headers],0)),"ERROR"))</f>
        <v>3</v>
      </c>
      <c r="G84" s="154">
        <f>IF($B84=" ","",IFERROR(INDEX(MMWR_RATING_STATE_ROLLUP_BDD[],MATCH($B84,MMWR_RATING_STATE_ROLLUP_BDD[MMWR_RATING_STATE_ROLLUP_BDD],0),MATCH(G$9,MMWR_RATING_STATE_ROLLUP_BDD[#Headers],0)),"ERROR"))</f>
        <v>75</v>
      </c>
      <c r="H84" s="155">
        <f>IF($B84=" ","",IFERROR(INDEX(MMWR_RATING_STATE_ROLLUP_BDD[],MATCH($B84,MMWR_RATING_STATE_ROLLUP_BDD[MMWR_RATING_STATE_ROLLUP_BDD],0),MATCH(H$9,MMWR_RATING_STATE_ROLLUP_BDD[#Headers],0)),"ERROR"))</f>
        <v>53.333333333299997</v>
      </c>
      <c r="I84" s="155">
        <f>IF($B84=" ","",IFERROR(INDEX(MMWR_RATING_STATE_ROLLUP_BDD[],MATCH($B84,MMWR_RATING_STATE_ROLLUP_BDD[MMWR_RATING_STATE_ROLLUP_BDD],0),MATCH(I$9,MMWR_RATING_STATE_ROLLUP_BDD[#Headers],0)),"ERROR"))</f>
        <v>125.64</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296</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311</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July 30,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239</v>
      </c>
      <c r="C5" s="436"/>
      <c r="D5" s="436"/>
      <c r="E5" s="436"/>
      <c r="F5" s="436"/>
      <c r="G5" s="436"/>
      <c r="H5" s="437"/>
      <c r="I5" s="55"/>
      <c r="J5" s="435" t="s">
        <v>236</v>
      </c>
      <c r="K5" s="436"/>
      <c r="L5" s="436"/>
      <c r="M5" s="436"/>
      <c r="N5" s="437"/>
      <c r="O5" s="56"/>
      <c r="P5" s="407" t="s">
        <v>11</v>
      </c>
      <c r="Q5" s="408"/>
      <c r="R5" s="408"/>
      <c r="S5" s="408"/>
      <c r="T5" s="408"/>
      <c r="U5" s="409"/>
      <c r="V5" s="25"/>
    </row>
    <row r="6" spans="1:22" s="1" customFormat="1" ht="65.25" customHeight="1" thickBot="1" x14ac:dyDescent="0.25">
      <c r="A6" s="25"/>
      <c r="B6" s="426" t="s">
        <v>279</v>
      </c>
      <c r="C6" s="427"/>
      <c r="D6" s="427"/>
      <c r="E6" s="428"/>
      <c r="F6" s="57" t="s">
        <v>12</v>
      </c>
      <c r="G6" s="58" t="s">
        <v>3</v>
      </c>
      <c r="H6" s="59" t="s">
        <v>4</v>
      </c>
      <c r="I6" s="25"/>
      <c r="J6" s="446" t="s">
        <v>279</v>
      </c>
      <c r="K6" s="447"/>
      <c r="L6" s="60" t="s">
        <v>12</v>
      </c>
      <c r="M6" s="61" t="s">
        <v>3</v>
      </c>
      <c r="N6" s="62" t="s">
        <v>4</v>
      </c>
      <c r="O6" s="63"/>
      <c r="P6" s="438" t="s">
        <v>279</v>
      </c>
      <c r="Q6" s="439"/>
      <c r="R6" s="64" t="s">
        <v>487</v>
      </c>
      <c r="S6" s="441" t="s">
        <v>279</v>
      </c>
      <c r="T6" s="442"/>
      <c r="U6" s="65" t="s">
        <v>134</v>
      </c>
      <c r="V6" s="25"/>
    </row>
    <row r="7" spans="1:22" s="1" customFormat="1" ht="32.25" customHeight="1" thickBot="1" x14ac:dyDescent="0.25">
      <c r="A7" s="25"/>
      <c r="B7" s="410" t="s">
        <v>298</v>
      </c>
      <c r="C7" s="411"/>
      <c r="D7" s="411"/>
      <c r="E7" s="411"/>
      <c r="F7" s="166">
        <f>SUM(F8:F10)</f>
        <v>117505</v>
      </c>
      <c r="G7" s="167">
        <f>SUM(G8:G10)</f>
        <v>28965</v>
      </c>
      <c r="H7" s="168">
        <f t="shared" ref="H7:H44" si="0">IF(G7="--", 0, G7/F7)</f>
        <v>0.24650014892983277</v>
      </c>
      <c r="I7" s="25"/>
      <c r="J7" s="410" t="s">
        <v>264</v>
      </c>
      <c r="K7" s="411"/>
      <c r="L7" s="167">
        <f>SUM(L8:L10)</f>
        <v>30233</v>
      </c>
      <c r="M7" s="167">
        <f>SUM(M8:M10)</f>
        <v>4053</v>
      </c>
      <c r="N7" s="178">
        <f>IF(M7="--", 0, M7/L7)</f>
        <v>0.13405880990970132</v>
      </c>
      <c r="O7" s="66"/>
      <c r="P7" s="410" t="s">
        <v>965</v>
      </c>
      <c r="Q7" s="411"/>
      <c r="R7" s="179">
        <f>R8+R9+R10+R11+R12</f>
        <v>317630</v>
      </c>
      <c r="S7" s="410"/>
      <c r="T7" s="411"/>
      <c r="U7" s="67"/>
      <c r="V7" s="25"/>
    </row>
    <row r="8" spans="1:22" s="1" customFormat="1" ht="51" customHeight="1" x14ac:dyDescent="0.2">
      <c r="A8" s="25"/>
      <c r="B8" s="323" t="s">
        <v>249</v>
      </c>
      <c r="C8" s="324"/>
      <c r="D8" s="324"/>
      <c r="E8" s="403"/>
      <c r="F8" s="169">
        <f>IFERROR(VLOOKUP(MID(B8,4,3),MMWR_TRAD_AGG_NATIONAL[],2,0),"--")</f>
        <v>330</v>
      </c>
      <c r="G8" s="170">
        <f>IFERROR(VLOOKUP(MID(B8,4,3),MMWR_TRAD_AGG_NATIONAL[],3,0),"--")</f>
        <v>161</v>
      </c>
      <c r="H8" s="171">
        <f t="shared" si="0"/>
        <v>0.48787878787878786</v>
      </c>
      <c r="I8" s="25"/>
      <c r="J8" s="421" t="s">
        <v>266</v>
      </c>
      <c r="K8" s="440"/>
      <c r="L8" s="169">
        <f>IFERROR(VLOOKUP(MID(J8,4,3),MMWR_TRAD_AGG_NATIONAL[],2,0),"--")</f>
        <v>7003</v>
      </c>
      <c r="M8" s="170">
        <f>IFERROR(VLOOKUP(MID(J8,4,3),MMWR_TRAD_AGG_NATIONAL[],3,0),"--")</f>
        <v>531</v>
      </c>
      <c r="N8" s="171">
        <f>IF(M8="--", 0, M8/L8)</f>
        <v>7.5824646580037125E-2</v>
      </c>
      <c r="O8" s="68" t="s">
        <v>310</v>
      </c>
      <c r="P8" s="443" t="s">
        <v>240</v>
      </c>
      <c r="Q8" s="444"/>
      <c r="R8" s="180">
        <f>VLOOKUP(P8,MMWR_APP_NATIONAL[],2,0)</f>
        <v>231679</v>
      </c>
      <c r="S8" s="445" t="s">
        <v>229</v>
      </c>
      <c r="T8" s="422"/>
      <c r="U8" s="181">
        <f>VLOOKUP(P8,MMWR_APP_NATIONAL[],3,0)</f>
        <v>409.62963586450002</v>
      </c>
      <c r="V8" s="25"/>
    </row>
    <row r="9" spans="1:22" s="1" customFormat="1" ht="45" customHeight="1" x14ac:dyDescent="0.2">
      <c r="A9" s="25"/>
      <c r="B9" s="323" t="s">
        <v>247</v>
      </c>
      <c r="C9" s="324"/>
      <c r="D9" s="324"/>
      <c r="E9" s="403"/>
      <c r="F9" s="169">
        <f>IFERROR(VLOOKUP(MID(B9,4,3),MMWR_TRAD_AGG_NATIONAL[],2,0),"--")</f>
        <v>34299</v>
      </c>
      <c r="G9" s="170">
        <f>IFERROR(VLOOKUP(MID(B9,4,3),MMWR_TRAD_AGG_NATIONAL[],3,0),"--")</f>
        <v>9492</v>
      </c>
      <c r="H9" s="171">
        <f t="shared" si="0"/>
        <v>0.27674276217965538</v>
      </c>
      <c r="I9" s="68" t="s">
        <v>310</v>
      </c>
      <c r="J9" s="323" t="s">
        <v>265</v>
      </c>
      <c r="K9" s="324"/>
      <c r="L9" s="169">
        <f>IFERROR(VLOOKUP(MID(J9,4,3),MMWR_TRAD_AGG_NATIONAL[],2,0),"--")</f>
        <v>7813</v>
      </c>
      <c r="M9" s="170">
        <f>IFERROR(VLOOKUP(MID(J9,4,3),MMWR_TRAD_AGG_NATIONAL[],3,0),"--")</f>
        <v>505</v>
      </c>
      <c r="N9" s="171">
        <f>IF(M9="--", 0, M9/L9)</f>
        <v>6.4635863304748492E-2</v>
      </c>
      <c r="O9" s="68" t="s">
        <v>310</v>
      </c>
      <c r="P9" s="401" t="s">
        <v>241</v>
      </c>
      <c r="Q9" s="402"/>
      <c r="R9" s="182">
        <f>VLOOKUP(P9,MMWR_APP_NATIONAL[],2,0)</f>
        <v>51667</v>
      </c>
      <c r="S9" s="397" t="s">
        <v>230</v>
      </c>
      <c r="T9" s="398"/>
      <c r="U9" s="183">
        <f>VLOOKUP(P9,MMWR_APP_NATIONAL[],3,0)</f>
        <v>528.01840633289999</v>
      </c>
      <c r="V9" s="25"/>
    </row>
    <row r="10" spans="1:22" s="1" customFormat="1" ht="63" customHeight="1" thickBot="1" x14ac:dyDescent="0.25">
      <c r="A10" s="25"/>
      <c r="B10" s="323" t="s">
        <v>248</v>
      </c>
      <c r="C10" s="324"/>
      <c r="D10" s="324"/>
      <c r="E10" s="403"/>
      <c r="F10" s="169">
        <f>IFERROR(VLOOKUP(MID(B10,4,3),MMWR_TRAD_AGG_NATIONAL[],2,0),"--")</f>
        <v>82876</v>
      </c>
      <c r="G10" s="170">
        <f>IFERROR(VLOOKUP(MID(B10,4,3),MMWR_TRAD_AGG_NATIONAL[],3,0),"--")</f>
        <v>19312</v>
      </c>
      <c r="H10" s="171">
        <f t="shared" si="0"/>
        <v>0.23302282928712775</v>
      </c>
      <c r="I10" s="68" t="s">
        <v>310</v>
      </c>
      <c r="J10" s="325" t="s">
        <v>267</v>
      </c>
      <c r="K10" s="326"/>
      <c r="L10" s="169">
        <f>IFERROR(VLOOKUP(MID(J10,4,3),MMWR_TRAD_AGG_NATIONAL[],2,0),"--")</f>
        <v>15417</v>
      </c>
      <c r="M10" s="170">
        <f>IFERROR(VLOOKUP(MID(J10,4,3),MMWR_TRAD_AGG_NATIONAL[],3,0),"--")</f>
        <v>3017</v>
      </c>
      <c r="N10" s="171">
        <f>IF(M10="--", 0, M10/L10)</f>
        <v>0.1956930660958682</v>
      </c>
      <c r="O10" s="69"/>
      <c r="P10" s="401" t="s">
        <v>242</v>
      </c>
      <c r="Q10" s="402"/>
      <c r="R10" s="182">
        <f>VLOOKUP(P10,MMWR_APP_NATIONAL[],2,0)</f>
        <v>22360</v>
      </c>
      <c r="S10" s="397" t="s">
        <v>231</v>
      </c>
      <c r="T10" s="398"/>
      <c r="U10" s="183">
        <f>VLOOKUP(P10,MMWR_APP_NATIONAL[],3,0)</f>
        <v>504.6063439513</v>
      </c>
      <c r="V10" s="25"/>
    </row>
    <row r="11" spans="1:22" s="1" customFormat="1" ht="45" customHeight="1" thickBot="1" x14ac:dyDescent="0.25">
      <c r="A11" s="25"/>
      <c r="B11" s="410" t="s">
        <v>299</v>
      </c>
      <c r="C11" s="411"/>
      <c r="D11" s="411"/>
      <c r="E11" s="411"/>
      <c r="F11" s="166">
        <f>SUM(F12:F13)</f>
        <v>11437</v>
      </c>
      <c r="G11" s="167">
        <f>SUM(G12:G13)</f>
        <v>2673</v>
      </c>
      <c r="H11" s="168">
        <f t="shared" si="0"/>
        <v>0.2337151350878727</v>
      </c>
      <c r="I11" s="25"/>
      <c r="J11" s="410" t="s">
        <v>237</v>
      </c>
      <c r="K11" s="411"/>
      <c r="L11" s="166">
        <f>SUM(L12:L17)</f>
        <v>32882</v>
      </c>
      <c r="M11" s="166">
        <f>SUM(M12:M17)</f>
        <v>7794</v>
      </c>
      <c r="N11" s="159">
        <f>IF(M11="--", 0, M11/L11)</f>
        <v>0.23702937777507452</v>
      </c>
      <c r="O11" s="69"/>
      <c r="P11" s="401" t="s">
        <v>966</v>
      </c>
      <c r="Q11" s="402"/>
      <c r="R11" s="182">
        <f>VLOOKUP(P11,MMWR_APP_NATIONAL[],2,0)</f>
        <v>11342</v>
      </c>
      <c r="S11" s="397" t="s">
        <v>232</v>
      </c>
      <c r="T11" s="398"/>
      <c r="U11" s="183">
        <f>VLOOKUP(P11,MMWR_APP_NATIONAL[],3,0)</f>
        <v>177.12009522970001</v>
      </c>
      <c r="V11" s="25"/>
    </row>
    <row r="12" spans="1:22" s="1" customFormat="1" ht="46.5" customHeight="1" thickBot="1" x14ac:dyDescent="0.25">
      <c r="A12" s="25"/>
      <c r="B12" s="404" t="s">
        <v>269</v>
      </c>
      <c r="C12" s="405"/>
      <c r="D12" s="405"/>
      <c r="E12" s="406"/>
      <c r="F12" s="169">
        <f>IFERROR(VLOOKUP(MID(B12,4,3),MMWR_TRAD_AGG_NATIONAL[],2,0),"--")</f>
        <v>10264</v>
      </c>
      <c r="G12" s="170">
        <f>IFERROR(VLOOKUP(MID(B12,4,3),MMWR_TRAD_AGG_NATIONAL[],3,0),"--")</f>
        <v>1944</v>
      </c>
      <c r="H12" s="171">
        <f t="shared" si="0"/>
        <v>0.18939984411535463</v>
      </c>
      <c r="I12" s="68" t="s">
        <v>310</v>
      </c>
      <c r="J12" s="325" t="s">
        <v>259</v>
      </c>
      <c r="K12" s="398"/>
      <c r="L12" s="169">
        <f>IFERROR(VLOOKUP(MID(J12,4,3)&amp;"p",MMWR_TRAD_AGG_NATIONAL[],2,0),"--")</f>
        <v>962</v>
      </c>
      <c r="M12" s="170">
        <f>IFERROR(VLOOKUP(MID(J12,4,3)&amp;"p",MMWR_TRAD_AGG_NATIONAL[],3,0),"--")</f>
        <v>41</v>
      </c>
      <c r="N12" s="171">
        <f t="shared" ref="N12:N17" si="1">IF(L12="--", 0,M12/L12)</f>
        <v>4.2619542619542622E-2</v>
      </c>
      <c r="O12" s="69"/>
      <c r="P12" s="401" t="s">
        <v>947</v>
      </c>
      <c r="Q12" s="402"/>
      <c r="R12" s="182">
        <f>VLOOKUP(P12,MMWR_APP_NATIONAL[],2,0)</f>
        <v>582</v>
      </c>
      <c r="S12" s="399" t="s">
        <v>964</v>
      </c>
      <c r="T12" s="400"/>
      <c r="U12" s="183">
        <f>VLOOKUP(P12,MMWR_APP_NATIONAL[],3,0)</f>
        <v>451.32646048110001</v>
      </c>
      <c r="V12" s="25"/>
    </row>
    <row r="13" spans="1:22" s="1" customFormat="1" ht="49.5" customHeight="1" thickBot="1" x14ac:dyDescent="0.25">
      <c r="A13" s="25"/>
      <c r="B13" s="404" t="s">
        <v>1056</v>
      </c>
      <c r="C13" s="405"/>
      <c r="D13" s="405"/>
      <c r="E13" s="406"/>
      <c r="F13" s="169">
        <f>IFERROR(VLOOKUP(MID(B13,4,3),MMWR_TRAD_AGG_NATIONAL[],2,0),"--")</f>
        <v>1173</v>
      </c>
      <c r="G13" s="170">
        <f>IFERROR(VLOOKUP(MID(B13,4,3),MMWR_TRAD_AGG_NATIONAL[],3,0),"--")</f>
        <v>729</v>
      </c>
      <c r="H13" s="171">
        <f t="shared" si="0"/>
        <v>0.62148337595907932</v>
      </c>
      <c r="I13" s="25"/>
      <c r="J13" s="325" t="s">
        <v>268</v>
      </c>
      <c r="K13" s="398"/>
      <c r="L13" s="169">
        <f>IFERROR(VLOOKUP(MID(J13,4,3),MMWR_TRAD_AGG_NATIONAL[],2,0),"--")</f>
        <v>5096</v>
      </c>
      <c r="M13" s="170">
        <f>IFERROR(VLOOKUP(MID(J13,4,3),MMWR_TRAD_AGG_NATIONAL[],3,0),"--")</f>
        <v>1059</v>
      </c>
      <c r="N13" s="171">
        <f t="shared" si="1"/>
        <v>0.20781004709576137</v>
      </c>
      <c r="O13" s="69"/>
      <c r="P13" s="410" t="s">
        <v>975</v>
      </c>
      <c r="Q13" s="411"/>
      <c r="R13" s="412"/>
      <c r="S13" s="413">
        <f>VLOOKUP(P13,MMWR_APP_NATIONAL[],2,0)</f>
        <v>31605</v>
      </c>
      <c r="T13" s="414"/>
      <c r="U13" s="415"/>
      <c r="V13" s="25"/>
    </row>
    <row r="14" spans="1:22" s="1" customFormat="1" ht="45" customHeight="1" thickBot="1" x14ac:dyDescent="0.25">
      <c r="A14" s="25"/>
      <c r="B14" s="410" t="s">
        <v>1</v>
      </c>
      <c r="C14" s="411"/>
      <c r="D14" s="411"/>
      <c r="E14" s="411"/>
      <c r="F14" s="166">
        <f>SUM(F15:F21)</f>
        <v>213018</v>
      </c>
      <c r="G14" s="167">
        <f>SUM(G15:G21)</f>
        <v>40786</v>
      </c>
      <c r="H14" s="168">
        <f t="shared" si="0"/>
        <v>0.19146738773249208</v>
      </c>
      <c r="I14" s="25"/>
      <c r="J14" s="325" t="s">
        <v>270</v>
      </c>
      <c r="K14" s="398"/>
      <c r="L14" s="169">
        <f>IFERROR(VLOOKUP(MID(J14,4,3),MMWR_TRAD_AGG_NATIONAL[],2,0),"--")</f>
        <v>14881</v>
      </c>
      <c r="M14" s="170">
        <f>IFERROR(VLOOKUP(MID(J14,4,3),MMWR_TRAD_AGG_NATIONAL[],3,0),"--")</f>
        <v>4710</v>
      </c>
      <c r="N14" s="171">
        <f t="shared" si="1"/>
        <v>0.31651098716484105</v>
      </c>
      <c r="O14" s="69"/>
      <c r="P14" s="21"/>
      <c r="Q14" s="21"/>
      <c r="R14" s="21"/>
      <c r="S14" s="28"/>
      <c r="T14" s="28"/>
      <c r="U14" s="70"/>
      <c r="V14" s="25"/>
    </row>
    <row r="15" spans="1:22" s="1" customFormat="1" ht="44.25" customHeight="1" thickBot="1" x14ac:dyDescent="0.25">
      <c r="A15" s="25"/>
      <c r="B15" s="323" t="s">
        <v>250</v>
      </c>
      <c r="C15" s="324"/>
      <c r="D15" s="324"/>
      <c r="E15" s="403"/>
      <c r="F15" s="169">
        <f>IFERROR(VLOOKUP(MID(B15,4,3),MMWR_TRAD_AGG_NATIONAL[],2,0),"--")</f>
        <v>212096</v>
      </c>
      <c r="G15" s="170">
        <f>IFERROR(VLOOKUP(MID(B15,4,3),MMWR_TRAD_AGG_NATIONAL[],3,0),"--")</f>
        <v>40521</v>
      </c>
      <c r="H15" s="171">
        <f t="shared" si="0"/>
        <v>0.19105027911888955</v>
      </c>
      <c r="I15" s="68" t="s">
        <v>310</v>
      </c>
      <c r="J15" s="325" t="s">
        <v>271</v>
      </c>
      <c r="K15" s="398"/>
      <c r="L15" s="169" t="str">
        <f>IFERROR(VLOOKUP(MID(J15,4,3),MMWR_TRAD_AGG_NATIONAL[],2,0),"--")</f>
        <v>--</v>
      </c>
      <c r="M15" s="170" t="str">
        <f>IFERROR(VLOOKUP(MID(J15,4,3),MMWR_TRAD_AGG_NATIONAL[],3,0),"--")</f>
        <v>--</v>
      </c>
      <c r="N15" s="171">
        <f t="shared" si="1"/>
        <v>0</v>
      </c>
      <c r="O15" s="69"/>
      <c r="P15" s="25"/>
      <c r="Q15" s="25"/>
      <c r="R15" s="25"/>
      <c r="S15" s="25"/>
      <c r="T15" s="28"/>
      <c r="U15" s="71"/>
      <c r="V15" s="25"/>
    </row>
    <row r="16" spans="1:22" s="1" customFormat="1" ht="57.75" customHeight="1" thickBot="1" x14ac:dyDescent="0.25">
      <c r="A16" s="25"/>
      <c r="B16" s="325" t="s">
        <v>251</v>
      </c>
      <c r="C16" s="326"/>
      <c r="D16" s="326"/>
      <c r="E16" s="398"/>
      <c r="F16" s="169">
        <f>IFERROR(VLOOKUP(MID(B16,4,3),MMWR_TRAD_AGG_NATIONAL[],2,0),"--")</f>
        <v>423</v>
      </c>
      <c r="G16" s="170">
        <f>IFERROR(VLOOKUP(MID(B16,4,3),MMWR_TRAD_AGG_NATIONAL[],3,0),"--")</f>
        <v>28</v>
      </c>
      <c r="H16" s="171">
        <f t="shared" si="0"/>
        <v>6.6193853427895979E-2</v>
      </c>
      <c r="I16" s="68" t="s">
        <v>310</v>
      </c>
      <c r="J16" s="325" t="s">
        <v>272</v>
      </c>
      <c r="K16" s="398"/>
      <c r="L16" s="169">
        <f>IFERROR(VLOOKUP(MID(J16,4,3),MMWR_TRAD_AGG_NATIONAL[],2,0),"--")</f>
        <v>5892</v>
      </c>
      <c r="M16" s="170">
        <f>IFERROR(VLOOKUP(MID(J16,4,3),MMWR_TRAD_AGG_NATIONAL[],3,0),"--")</f>
        <v>1610</v>
      </c>
      <c r="N16" s="171">
        <f t="shared" si="1"/>
        <v>0.27325186693822134</v>
      </c>
      <c r="O16" s="69"/>
      <c r="P16" s="407" t="s">
        <v>948</v>
      </c>
      <c r="Q16" s="408"/>
      <c r="R16" s="408"/>
      <c r="S16" s="409"/>
      <c r="T16" s="28"/>
      <c r="U16" s="71"/>
      <c r="V16" s="25"/>
    </row>
    <row r="17" spans="1:22" s="1" customFormat="1" ht="31.5" customHeight="1" thickBot="1" x14ac:dyDescent="0.25">
      <c r="A17" s="25"/>
      <c r="B17" s="325" t="s">
        <v>252</v>
      </c>
      <c r="C17" s="326"/>
      <c r="D17" s="326"/>
      <c r="E17" s="398"/>
      <c r="F17" s="169">
        <f>IFERROR(VLOOKUP(MID(B17,4,3),MMWR_TRAD_AGG_NATIONAL[],2,0),"--")</f>
        <v>218</v>
      </c>
      <c r="G17" s="170">
        <f>IFERROR(VLOOKUP(MID(B17,4,3),MMWR_TRAD_AGG_NATIONAL[],3,0),"--")</f>
        <v>144</v>
      </c>
      <c r="H17" s="171">
        <f t="shared" si="0"/>
        <v>0.66055045871559637</v>
      </c>
      <c r="I17" s="25"/>
      <c r="J17" s="325" t="s">
        <v>273</v>
      </c>
      <c r="K17" s="398"/>
      <c r="L17" s="169">
        <f>IFERROR(VLOOKUP(MID(J17,4,3),MMWR_TRAD_AGG_NATIONAL[],2,0),"--")</f>
        <v>6051</v>
      </c>
      <c r="M17" s="170">
        <f>IFERROR(VLOOKUP(MID(J17,4,3),MMWR_TRAD_AGG_NATIONAL[],3,0),"--")</f>
        <v>374</v>
      </c>
      <c r="N17" s="171">
        <f t="shared" si="1"/>
        <v>6.1807965625516444E-2</v>
      </c>
      <c r="O17" s="72"/>
      <c r="P17" s="416" t="s">
        <v>245</v>
      </c>
      <c r="Q17" s="417"/>
      <c r="R17" s="417"/>
      <c r="S17" s="184">
        <f>IFERROR(VLOOKUP("160",MMWR_TRAD_AGG_NATIONAL[],2,0),"--")</f>
        <v>35783</v>
      </c>
      <c r="T17" s="28"/>
      <c r="U17" s="71"/>
      <c r="V17" s="25"/>
    </row>
    <row r="18" spans="1:22" s="1" customFormat="1" ht="32.25" customHeight="1" thickBot="1" x14ac:dyDescent="0.25">
      <c r="A18" s="25"/>
      <c r="B18" s="325" t="s">
        <v>253</v>
      </c>
      <c r="C18" s="326"/>
      <c r="D18" s="326"/>
      <c r="E18" s="398"/>
      <c r="F18" s="169">
        <f>IFERROR(VLOOKUP(MID(B18,4,3),MMWR_TRAD_AGG_NATIONAL[],2,0),"--")</f>
        <v>6</v>
      </c>
      <c r="G18" s="170">
        <f>IFERROR(VLOOKUP(MID(B18,4,3),MMWR_TRAD_AGG_NATIONAL[],3,0),"--")</f>
        <v>2</v>
      </c>
      <c r="H18" s="171">
        <f t="shared" si="0"/>
        <v>0.33333333333333331</v>
      </c>
      <c r="I18" s="68" t="s">
        <v>310</v>
      </c>
      <c r="J18" s="410" t="s">
        <v>15</v>
      </c>
      <c r="K18" s="411"/>
      <c r="L18" s="166">
        <f>SUM(L19:L21)</f>
        <v>250</v>
      </c>
      <c r="M18" s="166">
        <f>SUM(M19:M21)</f>
        <v>237</v>
      </c>
      <c r="N18" s="159">
        <f t="shared" ref="N18:N26" si="2">IF(M18="--", 0, M18/L18)</f>
        <v>0.94799999999999995</v>
      </c>
      <c r="O18" s="73"/>
      <c r="P18" s="418" t="s">
        <v>246</v>
      </c>
      <c r="Q18" s="419"/>
      <c r="R18" s="419"/>
      <c r="S18" s="185">
        <f>IFERROR(VLOOKUP("165",MMWR_TRAD_AGG_NATIONAL[],2,0),"--")</f>
        <v>10477</v>
      </c>
      <c r="T18" s="28"/>
      <c r="U18" s="71"/>
      <c r="V18" s="25"/>
    </row>
    <row r="19" spans="1:22" s="1" customFormat="1" ht="41.25" customHeight="1" x14ac:dyDescent="0.4">
      <c r="A19" s="25"/>
      <c r="B19" s="325" t="s">
        <v>254</v>
      </c>
      <c r="C19" s="326"/>
      <c r="D19" s="326"/>
      <c r="E19" s="398"/>
      <c r="F19" s="169">
        <f>IFERROR(VLOOKUP(MID(B19,4,3),MMWR_TRAD_AGG_NATIONAL[],2,0),"--")</f>
        <v>1</v>
      </c>
      <c r="G19" s="170">
        <f>IFERROR(VLOOKUP(MID(B19,4,3),MMWR_TRAD_AGG_NATIONAL[],3,0),"--")</f>
        <v>0</v>
      </c>
      <c r="H19" s="171">
        <f t="shared" si="0"/>
        <v>0</v>
      </c>
      <c r="I19" s="68" t="s">
        <v>310</v>
      </c>
      <c r="J19" s="325" t="s">
        <v>274</v>
      </c>
      <c r="K19" s="398"/>
      <c r="L19" s="169">
        <f>IFERROR(VLOOKUP(MID(J19,4,3),MMWR_TRAD_AGG_NATIONAL[],2,0),"--")</f>
        <v>189</v>
      </c>
      <c r="M19" s="170">
        <f>IFERROR(VLOOKUP(MID(J19,4,3),MMWR_TRAD_AGG_NATIONAL[],3,0),"--")</f>
        <v>189</v>
      </c>
      <c r="N19" s="171">
        <f t="shared" si="2"/>
        <v>1</v>
      </c>
      <c r="O19" s="56"/>
      <c r="P19" s="25"/>
      <c r="Q19" s="25"/>
      <c r="R19" s="25"/>
      <c r="S19" s="25"/>
      <c r="T19" s="28"/>
      <c r="U19" s="71"/>
      <c r="V19" s="25"/>
    </row>
    <row r="20" spans="1:22" s="1" customFormat="1" ht="40.5" customHeight="1" x14ac:dyDescent="0.4">
      <c r="A20" s="25"/>
      <c r="B20" s="325" t="s">
        <v>255</v>
      </c>
      <c r="C20" s="326"/>
      <c r="D20" s="326"/>
      <c r="E20" s="398"/>
      <c r="F20" s="169">
        <f>IFERROR(VLOOKUP(MID(B20,4,3),MMWR_TRAD_AGG_NATIONAL[],2,0),"--")</f>
        <v>5</v>
      </c>
      <c r="G20" s="170">
        <f>IFERROR(VLOOKUP(MID(B20,4,3),MMWR_TRAD_AGG_NATIONAL[],3,0),"--")</f>
        <v>5</v>
      </c>
      <c r="H20" s="171">
        <f t="shared" si="0"/>
        <v>1</v>
      </c>
      <c r="I20" s="68" t="s">
        <v>310</v>
      </c>
      <c r="J20" s="325" t="s">
        <v>297</v>
      </c>
      <c r="K20" s="398"/>
      <c r="L20" s="169">
        <f>IFERROR(VLOOKUP(MID(J20,4,3),MMWR_TRAD_AGG_NATIONAL[],2,0),"--")</f>
        <v>38</v>
      </c>
      <c r="M20" s="170">
        <f>IFERROR(VLOOKUP(MID(J20,4,3),MMWR_TRAD_AGG_NATIONAL[],3,0),"--")</f>
        <v>32</v>
      </c>
      <c r="N20" s="171">
        <f t="shared" si="2"/>
        <v>0.84210526315789469</v>
      </c>
      <c r="O20" s="56"/>
      <c r="P20" s="56"/>
      <c r="Q20" s="56"/>
      <c r="R20" s="56"/>
      <c r="S20" s="56"/>
      <c r="T20" s="56"/>
      <c r="U20" s="74"/>
      <c r="V20" s="25"/>
    </row>
    <row r="21" spans="1:22" s="1" customFormat="1" ht="39" customHeight="1" thickBot="1" x14ac:dyDescent="0.45">
      <c r="A21" s="25"/>
      <c r="B21" s="325" t="s">
        <v>256</v>
      </c>
      <c r="C21" s="326"/>
      <c r="D21" s="326"/>
      <c r="E21" s="398"/>
      <c r="F21" s="169">
        <f>IFERROR(VLOOKUP(MID(B21,4,3),MMWR_TRAD_AGG_NATIONAL[],2,0),"--")</f>
        <v>269</v>
      </c>
      <c r="G21" s="170">
        <f>IFERROR(VLOOKUP(MID(B21,4,3),MMWR_TRAD_AGG_NATIONAL[],3,0),"--")</f>
        <v>86</v>
      </c>
      <c r="H21" s="171">
        <f t="shared" si="0"/>
        <v>0.31970260223048325</v>
      </c>
      <c r="I21" s="68" t="s">
        <v>310</v>
      </c>
      <c r="J21" s="325" t="s">
        <v>275</v>
      </c>
      <c r="K21" s="398"/>
      <c r="L21" s="169">
        <f>IFERROR(VLOOKUP(MID(J21,4,3),MMWR_TRAD_AGG_NATIONAL[],2,0),"--")</f>
        <v>23</v>
      </c>
      <c r="M21" s="170">
        <f>IFERROR(VLOOKUP(MID(J21,4,3),MMWR_TRAD_AGG_NATIONAL[],3,0),"--")</f>
        <v>16</v>
      </c>
      <c r="N21" s="171">
        <f t="shared" si="2"/>
        <v>0.69565217391304346</v>
      </c>
      <c r="O21" s="56"/>
      <c r="P21" s="56"/>
      <c r="Q21" s="56"/>
      <c r="R21" s="56"/>
      <c r="S21" s="56"/>
      <c r="T21" s="56"/>
      <c r="U21" s="74"/>
      <c r="V21" s="25"/>
    </row>
    <row r="22" spans="1:22" s="1" customFormat="1" ht="32.25" customHeight="1" thickBot="1" x14ac:dyDescent="0.45">
      <c r="A22" s="25"/>
      <c r="B22" s="410" t="s">
        <v>13</v>
      </c>
      <c r="C22" s="411"/>
      <c r="D22" s="411"/>
      <c r="E22" s="411"/>
      <c r="F22" s="166">
        <f>SUM(F23:F29)</f>
        <v>445856</v>
      </c>
      <c r="G22" s="167">
        <f>SUM(G23:G29)</f>
        <v>219512</v>
      </c>
      <c r="H22" s="168">
        <f t="shared" si="0"/>
        <v>0.49233833345295341</v>
      </c>
      <c r="I22" s="25"/>
      <c r="J22" s="410" t="s">
        <v>224</v>
      </c>
      <c r="K22" s="411"/>
      <c r="L22" s="166">
        <f>SUM(L23:L26)</f>
        <v>1690</v>
      </c>
      <c r="M22" s="166">
        <f>SUM(M23:M26)</f>
        <v>538</v>
      </c>
      <c r="N22" s="159">
        <f t="shared" si="2"/>
        <v>0.31834319526627219</v>
      </c>
      <c r="O22" s="56"/>
      <c r="P22" s="25"/>
      <c r="Q22" s="25"/>
      <c r="R22" s="25"/>
      <c r="S22" s="25"/>
      <c r="T22" s="56"/>
      <c r="U22" s="74"/>
      <c r="V22" s="25"/>
    </row>
    <row r="23" spans="1:22" s="1" customFormat="1" ht="26.25" customHeight="1" x14ac:dyDescent="0.4">
      <c r="A23" s="25"/>
      <c r="B23" s="404" t="s">
        <v>257</v>
      </c>
      <c r="C23" s="405"/>
      <c r="D23" s="405"/>
      <c r="E23" s="406"/>
      <c r="F23" s="169">
        <f>IFERROR(VLOOKUP(MID(B23,4,3),MMWR_TRAD_AGG_NATIONAL[],2,0),"--")</f>
        <v>133972</v>
      </c>
      <c r="G23" s="170">
        <f>IFERROR(VLOOKUP(MID(B23,4,3),MMWR_TRAD_AGG_NATIONAL[],3,0),"--")</f>
        <v>84376</v>
      </c>
      <c r="H23" s="171">
        <f t="shared" si="0"/>
        <v>0.62980324246857555</v>
      </c>
      <c r="I23" s="25"/>
      <c r="J23" s="421" t="s">
        <v>278</v>
      </c>
      <c r="K23" s="422"/>
      <c r="L23" s="172">
        <f>IFERROR(VLOOKUP(MID(J23,4,3),MMWR_TRAD_AGG_NATIONAL[],2,0),"--")</f>
        <v>241</v>
      </c>
      <c r="M23" s="173">
        <f>IFERROR(VLOOKUP(MID(J23,4,3),MMWR_TRAD_AGG_NATIONAL[],3,0),"--")</f>
        <v>94</v>
      </c>
      <c r="N23" s="174">
        <f t="shared" si="2"/>
        <v>0.39004149377593361</v>
      </c>
      <c r="O23" s="56"/>
      <c r="P23" s="25"/>
      <c r="Q23" s="25"/>
      <c r="R23" s="25"/>
      <c r="S23" s="25"/>
      <c r="T23" s="56"/>
      <c r="U23" s="74"/>
      <c r="V23" s="25"/>
    </row>
    <row r="24" spans="1:22" s="1" customFormat="1" ht="39.75" customHeight="1" x14ac:dyDescent="0.4">
      <c r="A24" s="25"/>
      <c r="B24" s="404" t="s">
        <v>258</v>
      </c>
      <c r="C24" s="405"/>
      <c r="D24" s="405"/>
      <c r="E24" s="406"/>
      <c r="F24" s="169">
        <f>IFERROR(VLOOKUP(MID(B24,4,3),MMWR_TRAD_AGG_NATIONAL[],2,0),"--")</f>
        <v>119</v>
      </c>
      <c r="G24" s="170">
        <f>IFERROR(VLOOKUP(MID(B24,4,3),MMWR_TRAD_AGG_NATIONAL[],3,0),"--")</f>
        <v>74</v>
      </c>
      <c r="H24" s="171">
        <f t="shared" si="0"/>
        <v>0.62184873949579833</v>
      </c>
      <c r="I24" s="25"/>
      <c r="J24" s="325" t="s">
        <v>277</v>
      </c>
      <c r="K24" s="398"/>
      <c r="L24" s="169">
        <f>IFERROR(VLOOKUP(MID(J24,4,3),MMWR_TRAD_AGG_NATIONAL[],2,0),"--")</f>
        <v>509</v>
      </c>
      <c r="M24" s="170">
        <f>IFERROR(VLOOKUP(MID(J24,4,3),MMWR_TRAD_AGG_NATIONAL[],3,0),"--")</f>
        <v>22</v>
      </c>
      <c r="N24" s="171">
        <f t="shared" si="2"/>
        <v>4.3222003929273084E-2</v>
      </c>
      <c r="O24" s="56"/>
      <c r="P24" s="25"/>
      <c r="Q24" s="25"/>
      <c r="R24" s="25"/>
      <c r="S24" s="25"/>
      <c r="T24" s="56"/>
      <c r="U24" s="74"/>
      <c r="V24" s="25"/>
    </row>
    <row r="25" spans="1:22" s="1" customFormat="1" ht="37.5" customHeight="1" x14ac:dyDescent="0.4">
      <c r="A25" s="25"/>
      <c r="B25" s="404" t="s">
        <v>259</v>
      </c>
      <c r="C25" s="405"/>
      <c r="D25" s="405"/>
      <c r="E25" s="406"/>
      <c r="F25" s="169">
        <f>IFERROR(VLOOKUP(MID(B25,4,3),MMWR_TRAD_AGG_NATIONAL[],2,0),"--")</f>
        <v>341</v>
      </c>
      <c r="G25" s="170">
        <f>IFERROR(VLOOKUP(MID(B25,4,3),MMWR_TRAD_AGG_NATIONAL[],3,0),"--")</f>
        <v>260</v>
      </c>
      <c r="H25" s="171">
        <f t="shared" si="0"/>
        <v>0.76246334310850439</v>
      </c>
      <c r="I25" s="25"/>
      <c r="J25" s="325" t="s">
        <v>276</v>
      </c>
      <c r="K25" s="398"/>
      <c r="L25" s="169">
        <f>IFERROR(VLOOKUP(MID(J25,4,3),MMWR_TRAD_AGG_NATIONAL[],2,0),"--")</f>
        <v>899</v>
      </c>
      <c r="M25" s="170">
        <f>IFERROR(VLOOKUP(MID(J25,4,3),MMWR_TRAD_AGG_NATIONAL[],3,0),"--")</f>
        <v>393</v>
      </c>
      <c r="N25" s="171">
        <f t="shared" si="2"/>
        <v>0.43715239154616242</v>
      </c>
      <c r="O25" s="56"/>
      <c r="P25" s="56"/>
      <c r="Q25" s="56"/>
      <c r="R25" s="56"/>
      <c r="S25" s="56"/>
      <c r="T25" s="56"/>
      <c r="U25" s="74"/>
      <c r="V25" s="25"/>
    </row>
    <row r="26" spans="1:22" s="1" customFormat="1" ht="37.5" customHeight="1" thickBot="1" x14ac:dyDescent="0.45">
      <c r="A26" s="25"/>
      <c r="B26" s="404" t="s">
        <v>260</v>
      </c>
      <c r="C26" s="405"/>
      <c r="D26" s="405"/>
      <c r="E26" s="406"/>
      <c r="F26" s="169">
        <f>IFERROR(VLOOKUP(MID(B26,4,3),MMWR_TRAD_AGG_NATIONAL[],2,0),"--")</f>
        <v>96139</v>
      </c>
      <c r="G26" s="170">
        <f>IFERROR(VLOOKUP(MID(B26,4,3),MMWR_TRAD_AGG_NATIONAL[],3,0),"--")</f>
        <v>72427</v>
      </c>
      <c r="H26" s="171">
        <f t="shared" si="0"/>
        <v>0.7533571183390716</v>
      </c>
      <c r="I26" s="56"/>
      <c r="J26" s="327" t="s">
        <v>313</v>
      </c>
      <c r="K26" s="400"/>
      <c r="L26" s="175">
        <f>IFERROR(VLOOKUP(MID(J26,4,3),MMWR_TRAD_AGG_NATIONAL[],2,0),"--")</f>
        <v>41</v>
      </c>
      <c r="M26" s="176">
        <f>IFERROR(VLOOKUP(MID(J26,4,3),MMWR_TRAD_AGG_NATIONAL[],3,0),"--")</f>
        <v>29</v>
      </c>
      <c r="N26" s="177">
        <f t="shared" si="2"/>
        <v>0.70731707317073167</v>
      </c>
      <c r="O26" s="56"/>
      <c r="P26" s="56"/>
      <c r="Q26" s="56"/>
      <c r="R26" s="56"/>
      <c r="S26" s="56"/>
      <c r="T26" s="56"/>
      <c r="U26" s="74"/>
      <c r="V26" s="25"/>
    </row>
    <row r="27" spans="1:22" s="1" customFormat="1" ht="26.25" customHeight="1" thickBot="1" x14ac:dyDescent="0.45">
      <c r="A27" s="25"/>
      <c r="B27" s="404" t="s">
        <v>261</v>
      </c>
      <c r="C27" s="405"/>
      <c r="D27" s="405"/>
      <c r="E27" s="406"/>
      <c r="F27" s="169">
        <f>IFERROR(VLOOKUP(MID(B27,4,3),MMWR_TRAD_AGG_NATIONAL[],2,0),"--")</f>
        <v>232</v>
      </c>
      <c r="G27" s="170">
        <f>IFERROR(VLOOKUP(MID(B27,4,3),MMWR_TRAD_AGG_NATIONAL[],3,0),"--")</f>
        <v>198</v>
      </c>
      <c r="H27" s="171">
        <f t="shared" si="0"/>
        <v>0.85344827586206895</v>
      </c>
      <c r="I27" s="56"/>
      <c r="J27" s="56"/>
      <c r="K27" s="56"/>
      <c r="L27" s="56"/>
      <c r="M27" s="56"/>
      <c r="N27" s="56"/>
      <c r="O27" s="56"/>
      <c r="P27" s="56"/>
      <c r="Q27" s="56"/>
      <c r="R27" s="56"/>
      <c r="S27" s="56"/>
      <c r="T27" s="56"/>
      <c r="U27" s="74"/>
      <c r="V27" s="25"/>
    </row>
    <row r="28" spans="1:22" s="1" customFormat="1" ht="32.25" customHeight="1" x14ac:dyDescent="0.4">
      <c r="A28" s="25"/>
      <c r="B28" s="404" t="s">
        <v>262</v>
      </c>
      <c r="C28" s="405"/>
      <c r="D28" s="405"/>
      <c r="E28" s="406"/>
      <c r="F28" s="169">
        <f>IFERROR(VLOOKUP(MID(B28,4,3),MMWR_TRAD_AGG_NATIONAL[],2,0),"--")</f>
        <v>21742</v>
      </c>
      <c r="G28" s="170">
        <f>IFERROR(VLOOKUP(MID(B28,4,3),MMWR_TRAD_AGG_NATIONAL[],3,0),"--")</f>
        <v>3368</v>
      </c>
      <c r="H28" s="171">
        <f t="shared" si="0"/>
        <v>0.1549075522031092</v>
      </c>
      <c r="I28" s="68" t="s">
        <v>310</v>
      </c>
      <c r="J28" s="448" t="s">
        <v>312</v>
      </c>
      <c r="K28" s="449"/>
      <c r="L28" s="449"/>
      <c r="M28" s="449"/>
      <c r="N28" s="450"/>
      <c r="O28" s="420" t="s">
        <v>310</v>
      </c>
      <c r="P28" s="75"/>
      <c r="Q28" s="56"/>
      <c r="R28" s="56"/>
      <c r="S28" s="56"/>
      <c r="T28" s="56"/>
      <c r="U28" s="74"/>
      <c r="V28" s="25"/>
    </row>
    <row r="29" spans="1:22" s="1" customFormat="1" ht="27" customHeight="1" thickBot="1" x14ac:dyDescent="0.45">
      <c r="A29" s="25"/>
      <c r="B29" s="404" t="s">
        <v>263</v>
      </c>
      <c r="C29" s="405"/>
      <c r="D29" s="405"/>
      <c r="E29" s="406"/>
      <c r="F29" s="169">
        <f>IFERROR(VLOOKUP(MID(B29,4,3),MMWR_TRAD_AGG_NATIONAL[],2,0),"--")</f>
        <v>193311</v>
      </c>
      <c r="G29" s="170">
        <f>IFERROR(VLOOKUP(MID(B29,4,3),MMWR_TRAD_AGG_NATIONAL[],3,0),"--")</f>
        <v>58809</v>
      </c>
      <c r="H29" s="171">
        <f t="shared" si="0"/>
        <v>0.30421962537051694</v>
      </c>
      <c r="I29" s="56"/>
      <c r="J29" s="451"/>
      <c r="K29" s="452"/>
      <c r="L29" s="452"/>
      <c r="M29" s="452"/>
      <c r="N29" s="453"/>
      <c r="O29" s="420"/>
      <c r="P29" s="76"/>
      <c r="Q29" s="56"/>
      <c r="R29" s="56"/>
      <c r="S29" s="56"/>
      <c r="T29" s="56"/>
      <c r="U29" s="74"/>
      <c r="V29" s="25"/>
    </row>
    <row r="30" spans="1:22" s="1" customFormat="1" ht="32.25" customHeight="1" thickBot="1" x14ac:dyDescent="0.45">
      <c r="A30" s="25"/>
      <c r="B30" s="410" t="s">
        <v>29</v>
      </c>
      <c r="C30" s="411"/>
      <c r="D30" s="411"/>
      <c r="E30" s="411"/>
      <c r="F30" s="167">
        <f>SUM(F31:F37)</f>
        <v>125640</v>
      </c>
      <c r="G30" s="167">
        <f>SUM(G31:G37)</f>
        <v>97012</v>
      </c>
      <c r="H30" s="159">
        <f t="shared" si="0"/>
        <v>0.77214262973575298</v>
      </c>
      <c r="I30" s="56"/>
      <c r="J30" s="28"/>
      <c r="K30" s="28"/>
      <c r="L30" s="28"/>
      <c r="M30" s="28"/>
      <c r="N30" s="28"/>
      <c r="O30" s="28"/>
      <c r="P30" s="56"/>
      <c r="Q30" s="56"/>
      <c r="R30" s="56"/>
      <c r="S30" s="56"/>
      <c r="T30" s="56"/>
      <c r="U30" s="74"/>
      <c r="V30" s="25"/>
    </row>
    <row r="31" spans="1:22" s="1" customFormat="1" ht="33.75" customHeight="1" x14ac:dyDescent="0.4">
      <c r="A31" s="25"/>
      <c r="B31" s="325" t="s">
        <v>280</v>
      </c>
      <c r="C31" s="326"/>
      <c r="D31" s="326"/>
      <c r="E31" s="398"/>
      <c r="F31" s="169">
        <f>IFERROR(VLOOKUP(MID(B31,4,3),MMWR_TRAD_AGG_NATIONAL[],2,0),"--")</f>
        <v>24</v>
      </c>
      <c r="G31" s="170">
        <f>IFERROR(VLOOKUP(MID(B31,4,3),MMWR_TRAD_AGG_NATIONAL[],3,0),"--")</f>
        <v>22</v>
      </c>
      <c r="H31" s="171">
        <f t="shared" si="0"/>
        <v>0.91666666666666663</v>
      </c>
      <c r="I31" s="56"/>
      <c r="J31" s="56"/>
      <c r="K31" s="56"/>
      <c r="L31" s="56"/>
      <c r="M31" s="56"/>
      <c r="N31" s="56"/>
      <c r="O31" s="56"/>
      <c r="P31" s="56"/>
      <c r="Q31" s="56"/>
      <c r="R31" s="56"/>
      <c r="S31" s="56"/>
      <c r="T31" s="56"/>
      <c r="U31" s="74"/>
      <c r="V31" s="25"/>
    </row>
    <row r="32" spans="1:22" s="1" customFormat="1" ht="32.25" customHeight="1" x14ac:dyDescent="0.4">
      <c r="A32" s="25"/>
      <c r="B32" s="325" t="s">
        <v>281</v>
      </c>
      <c r="C32" s="326"/>
      <c r="D32" s="326"/>
      <c r="E32" s="398"/>
      <c r="F32" s="169">
        <f>IFERROR(VLOOKUP(MID(B32,4,3),MMWR_TRAD_AGG_NATIONAL[],2,0),"--")</f>
        <v>34570</v>
      </c>
      <c r="G32" s="170">
        <f>IFERROR(VLOOKUP(MID(B32,4,3),MMWR_TRAD_AGG_NATIONAL[],3,0),"--")</f>
        <v>24119</v>
      </c>
      <c r="H32" s="171">
        <f t="shared" si="0"/>
        <v>0.69768585478738787</v>
      </c>
      <c r="I32" s="56"/>
      <c r="J32" s="56"/>
      <c r="K32" s="56"/>
      <c r="L32" s="56"/>
      <c r="M32" s="56"/>
      <c r="N32" s="56"/>
      <c r="O32" s="56"/>
      <c r="P32" s="56"/>
      <c r="Q32" s="56"/>
      <c r="R32" s="56"/>
      <c r="S32" s="56"/>
      <c r="T32" s="56"/>
      <c r="U32" s="74"/>
      <c r="V32" s="25"/>
    </row>
    <row r="33" spans="1:22" s="1" customFormat="1" ht="32.25" customHeight="1" x14ac:dyDescent="0.4">
      <c r="A33" s="25"/>
      <c r="B33" s="325" t="s">
        <v>282</v>
      </c>
      <c r="C33" s="326"/>
      <c r="D33" s="326"/>
      <c r="E33" s="398"/>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283</v>
      </c>
      <c r="C34" s="326"/>
      <c r="D34" s="326"/>
      <c r="E34" s="398"/>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284</v>
      </c>
      <c r="C35" s="326"/>
      <c r="D35" s="326"/>
      <c r="E35" s="398"/>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285</v>
      </c>
      <c r="C36" s="326"/>
      <c r="D36" s="326"/>
      <c r="E36" s="398"/>
      <c r="F36" s="169">
        <f>IFERROR(VLOOKUP(MID(B36,4,3),MMWR_TRAD_AGG_NATIONAL[],2,0),"--")</f>
        <v>24608</v>
      </c>
      <c r="G36" s="170">
        <f>IFERROR(VLOOKUP(MID(B36,4,3),MMWR_TRAD_AGG_NATIONAL[],3,0),"--")</f>
        <v>17002</v>
      </c>
      <c r="H36" s="171">
        <f t="shared" si="0"/>
        <v>0.69091352405721718</v>
      </c>
      <c r="I36" s="56"/>
      <c r="J36" s="56"/>
      <c r="K36" s="56"/>
      <c r="L36" s="56"/>
      <c r="M36" s="56"/>
      <c r="N36" s="56"/>
      <c r="O36" s="56"/>
      <c r="P36" s="56"/>
      <c r="Q36" s="56"/>
      <c r="R36" s="56"/>
      <c r="S36" s="56"/>
      <c r="T36" s="56"/>
      <c r="U36" s="74"/>
      <c r="V36" s="25"/>
    </row>
    <row r="37" spans="1:22" s="1" customFormat="1" ht="27" customHeight="1" thickBot="1" x14ac:dyDescent="0.45">
      <c r="A37" s="25"/>
      <c r="B37" s="325" t="s">
        <v>286</v>
      </c>
      <c r="C37" s="326"/>
      <c r="D37" s="326"/>
      <c r="E37" s="398"/>
      <c r="F37" s="169">
        <f>IFERROR(VLOOKUP(MID(B37,4,3)&amp;"G",MMWR_TRAD_AGG_NATIONAL[],2,0),"--")</f>
        <v>66438</v>
      </c>
      <c r="G37" s="170">
        <f>IFERROR(VLOOKUP(MID(B37,4,3)&amp;"G",MMWR_TRAD_AGG_NATIONAL[],3,0),"--")</f>
        <v>55869</v>
      </c>
      <c r="H37" s="171">
        <f t="shared" si="0"/>
        <v>0.84091935338210055</v>
      </c>
      <c r="I37" s="56"/>
      <c r="J37" s="56"/>
      <c r="K37" s="56"/>
      <c r="L37" s="56"/>
      <c r="M37" s="56"/>
      <c r="N37" s="56"/>
      <c r="O37" s="56"/>
      <c r="P37" s="56"/>
      <c r="Q37" s="56"/>
      <c r="R37" s="56"/>
      <c r="S37" s="56"/>
      <c r="T37" s="56"/>
      <c r="U37" s="74"/>
      <c r="V37" s="25"/>
    </row>
    <row r="38" spans="1:22" s="1" customFormat="1" ht="32.25" customHeight="1" thickBot="1" x14ac:dyDescent="0.45">
      <c r="A38" s="25"/>
      <c r="B38" s="410" t="s">
        <v>238</v>
      </c>
      <c r="C38" s="411"/>
      <c r="D38" s="411"/>
      <c r="E38" s="411"/>
      <c r="F38" s="166">
        <f>SUM(F39:F44)</f>
        <v>170112</v>
      </c>
      <c r="G38" s="167">
        <f>SUM(G39:G44)</f>
        <v>117103</v>
      </c>
      <c r="H38" s="168">
        <f t="shared" si="0"/>
        <v>0.68838765048908956</v>
      </c>
      <c r="I38" s="56"/>
      <c r="J38" s="56"/>
      <c r="K38" s="75"/>
      <c r="L38" s="75"/>
      <c r="M38" s="75"/>
      <c r="N38" s="75"/>
      <c r="O38" s="75"/>
      <c r="P38" s="56"/>
      <c r="Q38" s="56"/>
      <c r="R38" s="56"/>
      <c r="S38" s="56"/>
      <c r="T38" s="56"/>
      <c r="U38" s="74"/>
      <c r="V38" s="25"/>
    </row>
    <row r="39" spans="1:22" s="1" customFormat="1" ht="26.25" customHeight="1" x14ac:dyDescent="0.4">
      <c r="A39" s="25"/>
      <c r="B39" s="421" t="s">
        <v>287</v>
      </c>
      <c r="C39" s="440"/>
      <c r="D39" s="440"/>
      <c r="E39" s="422"/>
      <c r="F39" s="172">
        <f>IFERROR(VLOOKUP(MID(B39,4,3),MMWR_TRAD_AGG_NATIONAL[],2,0),"--")</f>
        <v>8330</v>
      </c>
      <c r="G39" s="173">
        <f>IFERROR(VLOOKUP(MID(B39,4,3),MMWR_TRAD_AGG_NATIONAL[],3,0),"--")</f>
        <v>6380</v>
      </c>
      <c r="H39" s="174">
        <f t="shared" si="0"/>
        <v>0.76590636254501798</v>
      </c>
      <c r="I39" s="56"/>
      <c r="J39" s="56"/>
      <c r="K39" s="75"/>
      <c r="L39" s="75"/>
      <c r="M39" s="75"/>
      <c r="N39" s="75"/>
      <c r="O39" s="75"/>
      <c r="P39" s="56"/>
      <c r="Q39" s="56"/>
      <c r="R39" s="56"/>
      <c r="S39" s="56"/>
      <c r="T39" s="56"/>
      <c r="U39" s="74"/>
      <c r="V39" s="25"/>
    </row>
    <row r="40" spans="1:22" s="1" customFormat="1" ht="26.25" customHeight="1" x14ac:dyDescent="0.4">
      <c r="A40" s="25"/>
      <c r="B40" s="325" t="s">
        <v>288</v>
      </c>
      <c r="C40" s="326"/>
      <c r="D40" s="326"/>
      <c r="E40" s="398"/>
      <c r="F40" s="169">
        <f>IFERROR(VLOOKUP(MID(B40,4,3),MMWR_TRAD_AGG_NATIONAL[],2,0),"--")</f>
        <v>63720</v>
      </c>
      <c r="G40" s="170">
        <f>IFERROR(VLOOKUP(MID(B40,4,3),MMWR_TRAD_AGG_NATIONAL[],3,0),"--")</f>
        <v>48646</v>
      </c>
      <c r="H40" s="171">
        <f t="shared" si="0"/>
        <v>0.76343377275580671</v>
      </c>
      <c r="I40" s="56"/>
      <c r="J40" s="56"/>
      <c r="K40" s="56"/>
      <c r="L40" s="56"/>
      <c r="M40" s="56"/>
      <c r="N40" s="56"/>
      <c r="O40" s="56"/>
      <c r="P40" s="56"/>
      <c r="Q40" s="56"/>
      <c r="R40" s="56"/>
      <c r="S40" s="56"/>
      <c r="T40" s="56"/>
      <c r="U40" s="74"/>
      <c r="V40" s="25"/>
    </row>
    <row r="41" spans="1:22" s="1" customFormat="1" ht="26.25" customHeight="1" x14ac:dyDescent="0.4">
      <c r="A41" s="25"/>
      <c r="B41" s="325" t="s">
        <v>289</v>
      </c>
      <c r="C41" s="326"/>
      <c r="D41" s="326"/>
      <c r="E41" s="398"/>
      <c r="F41" s="169">
        <f>IFERROR(VLOOKUP(MID(B41,4,3),MMWR_TRAD_AGG_NATIONAL[],2,0),"--")</f>
        <v>952</v>
      </c>
      <c r="G41" s="170">
        <f>IFERROR(VLOOKUP(MID(B41,4,3),MMWR_TRAD_AGG_NATIONAL[],3,0),"--")</f>
        <v>334</v>
      </c>
      <c r="H41" s="171">
        <f t="shared" si="0"/>
        <v>0.35084033613445376</v>
      </c>
      <c r="I41" s="56"/>
      <c r="J41" s="56"/>
      <c r="K41" s="56"/>
      <c r="L41" s="56"/>
      <c r="M41" s="56"/>
      <c r="N41" s="56"/>
      <c r="O41" s="56"/>
      <c r="P41" s="56"/>
      <c r="Q41" s="56"/>
      <c r="R41" s="56"/>
      <c r="S41" s="56"/>
      <c r="T41" s="56"/>
      <c r="U41" s="74"/>
      <c r="V41" s="25"/>
    </row>
    <row r="42" spans="1:22" s="1" customFormat="1" ht="36" customHeight="1" x14ac:dyDescent="0.4">
      <c r="A42" s="25"/>
      <c r="B42" s="325" t="s">
        <v>290</v>
      </c>
      <c r="C42" s="326"/>
      <c r="D42" s="326"/>
      <c r="E42" s="398"/>
      <c r="F42" s="169">
        <f>IFERROR(VLOOKUP(MID(B42,4,3),MMWR_TRAD_AGG_NATIONAL[],2,0),"--")</f>
        <v>79183</v>
      </c>
      <c r="G42" s="170">
        <f>IFERROR(VLOOKUP(MID(B42,4,3),MMWR_TRAD_AGG_NATIONAL[],3,0),"--")</f>
        <v>47039</v>
      </c>
      <c r="H42" s="171">
        <f t="shared" si="0"/>
        <v>0.59405427932763344</v>
      </c>
      <c r="I42" s="56"/>
      <c r="J42" s="56"/>
      <c r="K42" s="56"/>
      <c r="L42" s="56"/>
      <c r="M42" s="56"/>
      <c r="N42" s="56"/>
      <c r="O42" s="56"/>
      <c r="P42" s="56"/>
      <c r="Q42" s="56"/>
      <c r="R42" s="56"/>
      <c r="S42" s="56"/>
      <c r="T42" s="56"/>
      <c r="U42" s="74"/>
      <c r="V42" s="25"/>
    </row>
    <row r="43" spans="1:22" s="1" customFormat="1" ht="33" customHeight="1" x14ac:dyDescent="0.4">
      <c r="A43" s="25"/>
      <c r="B43" s="325" t="s">
        <v>291</v>
      </c>
      <c r="C43" s="326"/>
      <c r="D43" s="326"/>
      <c r="E43" s="398"/>
      <c r="F43" s="169">
        <f>IFERROR(VLOOKUP(MID(B43,4,3),MMWR_TRAD_AGG_NATIONAL[],2,0),"--")</f>
        <v>17450</v>
      </c>
      <c r="G43" s="170">
        <f>IFERROR(VLOOKUP(MID(B43,4,3),MMWR_TRAD_AGG_NATIONAL[],3,0),"--")</f>
        <v>14317</v>
      </c>
      <c r="H43" s="171">
        <f t="shared" si="0"/>
        <v>0.82045845272206308</v>
      </c>
      <c r="I43" s="56"/>
      <c r="J43" s="56"/>
      <c r="K43" s="56"/>
      <c r="L43" s="56"/>
      <c r="M43" s="56"/>
      <c r="N43" s="56"/>
      <c r="O43" s="56"/>
      <c r="P43" s="56"/>
      <c r="Q43" s="56"/>
      <c r="R43" s="56"/>
      <c r="S43" s="56"/>
      <c r="T43" s="56"/>
      <c r="U43" s="74"/>
      <c r="V43" s="25"/>
    </row>
    <row r="44" spans="1:22" s="1" customFormat="1" ht="27" customHeight="1" thickBot="1" x14ac:dyDescent="0.45">
      <c r="A44" s="25"/>
      <c r="B44" s="327" t="s">
        <v>292</v>
      </c>
      <c r="C44" s="328"/>
      <c r="D44" s="328"/>
      <c r="E44" s="400"/>
      <c r="F44" s="175">
        <f>IFERROR(VLOOKUP(MID(B44,4,3),MMWR_TRAD_AGG_NATIONAL[],2,0),"--")</f>
        <v>477</v>
      </c>
      <c r="G44" s="176">
        <f>IFERROR(VLOOKUP(MID(B44,4,3),MMWR_TRAD_AGG_NATIONAL[],3,0),"--")</f>
        <v>387</v>
      </c>
      <c r="H44" s="177">
        <f t="shared" si="0"/>
        <v>0.81132075471698117</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JULY 30,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487</v>
      </c>
      <c r="T4" s="91"/>
    </row>
    <row r="5" spans="1:20" ht="26.25" x14ac:dyDescent="0.4">
      <c r="A5" s="25"/>
      <c r="B5" s="26"/>
      <c r="C5" s="454" t="s">
        <v>485</v>
      </c>
      <c r="D5" s="455"/>
      <c r="E5" s="455"/>
      <c r="F5" s="455"/>
      <c r="G5" s="455"/>
      <c r="H5" s="455"/>
      <c r="I5" s="455"/>
      <c r="J5" s="455"/>
      <c r="K5" s="455"/>
      <c r="L5" s="455"/>
      <c r="M5" s="455"/>
      <c r="N5" s="455"/>
      <c r="O5" s="455"/>
      <c r="P5" s="455"/>
      <c r="Q5" s="455"/>
      <c r="R5" s="455"/>
      <c r="S5" s="456"/>
      <c r="T5" s="25"/>
    </row>
    <row r="6" spans="1:20" x14ac:dyDescent="0.2">
      <c r="A6" s="92"/>
      <c r="B6" s="93" t="s">
        <v>460</v>
      </c>
      <c r="C6" s="208">
        <f>IFERROR(VLOOKUP($B6,MMWR_TRAD_AGG_DISTRICT_COMP[],C$1,0),"ERROR")</f>
        <v>233044</v>
      </c>
      <c r="D6" s="186">
        <f>IFERROR(VLOOKUP($B6,MMWR_TRAD_AGG_DISTRICT_COMP[],D$1,0),"ERROR")</f>
        <v>369.93664715680001</v>
      </c>
      <c r="E6" s="194">
        <f>IFERROR(VLOOKUP($B6,MMWR_TRAD_AGG_DISTRICT_COMP[],E$1,0),"ERROR")</f>
        <v>341960</v>
      </c>
      <c r="F6" s="188">
        <f>IFERROR(VLOOKUP($B6,MMWR_TRAD_AGG_DISTRICT_COMP[],F$1,0),"ERROR")</f>
        <v>72424</v>
      </c>
      <c r="G6" s="211">
        <f t="shared" ref="G6:G69" si="0">IFERROR(F6/E6,"0%")</f>
        <v>0.21179085273131359</v>
      </c>
      <c r="H6" s="187">
        <f>IFERROR(VLOOKUP($B6,MMWR_TRAD_AGG_DISTRICT_COMP[],H$1,0),"ERROR")</f>
        <v>445856</v>
      </c>
      <c r="I6" s="188">
        <f>IFERROR(VLOOKUP($B6,MMWR_TRAD_AGG_DISTRICT_COMP[],I$1,0),"ERROR")</f>
        <v>219512</v>
      </c>
      <c r="J6" s="211">
        <f t="shared" ref="J6:J69" si="1">IFERROR(I6/H6,"0%")</f>
        <v>0.49233833345295341</v>
      </c>
      <c r="K6" s="187">
        <f>IFERROR(VLOOKUP($B6,MMWR_TRAD_AGG_DISTRICT_COMP[],K$1,0),"ERROR")</f>
        <v>129438</v>
      </c>
      <c r="L6" s="188">
        <f>IFERROR(VLOOKUP($B6,MMWR_TRAD_AGG_DISTRICT_COMP[],L$1,0),"ERROR")</f>
        <v>100612</v>
      </c>
      <c r="M6" s="211">
        <f t="shared" ref="M6:M69" si="2">IFERROR(L6/K6,"0%")</f>
        <v>0.77729878397379437</v>
      </c>
      <c r="N6" s="187">
        <f>IFERROR(VLOOKUP($B6,MMWR_TRAD_AGG_DISTRICT_COMP[],N$1,0),"ERROR")</f>
        <v>171360</v>
      </c>
      <c r="O6" s="188">
        <f>IFERROR(VLOOKUP($B6,MMWR_TRAD_AGG_DISTRICT_COMP[],O$1,0),"ERROR")</f>
        <v>117737</v>
      </c>
      <c r="P6" s="211">
        <f t="shared" ref="P6:P69" si="3">IFERROR(O6/N6,"0%")</f>
        <v>0.68707399626517274</v>
      </c>
      <c r="Q6" s="200">
        <f>IFERROR(VLOOKUP($B6,MMWR_TRAD_AGG_DISTRICT_COMP[],Q$1,0),"ERROR")</f>
        <v>23671</v>
      </c>
      <c r="R6" s="200">
        <f>IFERROR(VLOOKUP($B6,MMWR_TRAD_AGG_DISTRICT_COMP[],R$1,0),"ERROR")</f>
        <v>4512</v>
      </c>
      <c r="S6" s="203">
        <f>S7+S25+S38+S49+S62+S70</f>
        <v>312536</v>
      </c>
      <c r="T6" s="25"/>
    </row>
    <row r="7" spans="1:20" x14ac:dyDescent="0.2">
      <c r="A7" s="92"/>
      <c r="B7" s="101" t="s">
        <v>368</v>
      </c>
      <c r="C7" s="212">
        <f>IFERROR(VLOOKUP($B7,MMWR_TRAD_AGG_DISTRICT_COMP[],C$1,0),"ERROR")</f>
        <v>63877</v>
      </c>
      <c r="D7" s="197">
        <f>IFERROR(VLOOKUP($B7,MMWR_TRAD_AGG_DISTRICT_COMP[],D$1,0),"ERROR")</f>
        <v>413.69348904930001</v>
      </c>
      <c r="E7" s="213">
        <f>IFERROR(VLOOKUP($B7,MMWR_TRAD_AGG_DISTRICT_COMP[],E$1,0),"ERROR")</f>
        <v>79271</v>
      </c>
      <c r="F7" s="212">
        <f>IFERROR(VLOOKUP($B7,MMWR_TRAD_AGG_DISTRICT_COMP[],F$1,0),"ERROR")</f>
        <v>17865</v>
      </c>
      <c r="G7" s="214">
        <f t="shared" si="0"/>
        <v>0.22536614903306379</v>
      </c>
      <c r="H7" s="212">
        <f>IFERROR(VLOOKUP($B7,MMWR_TRAD_AGG_DISTRICT_COMP[],H$1,0),"ERROR")</f>
        <v>110645</v>
      </c>
      <c r="I7" s="212">
        <f>IFERROR(VLOOKUP($B7,MMWR_TRAD_AGG_DISTRICT_COMP[],I$1,0),"ERROR")</f>
        <v>59245</v>
      </c>
      <c r="J7" s="214">
        <f t="shared" si="1"/>
        <v>0.53545121785891814</v>
      </c>
      <c r="K7" s="212">
        <f>IFERROR(VLOOKUP($B7,MMWR_TRAD_AGG_DISTRICT_COMP[],K$1,0),"ERROR")</f>
        <v>36794</v>
      </c>
      <c r="L7" s="212">
        <f>IFERROR(VLOOKUP($B7,MMWR_TRAD_AGG_DISTRICT_COMP[],L$1,0),"ERROR")</f>
        <v>29220</v>
      </c>
      <c r="M7" s="214">
        <f t="shared" si="2"/>
        <v>0.79415122030765883</v>
      </c>
      <c r="N7" s="212">
        <f>IFERROR(VLOOKUP($B7,MMWR_TRAD_AGG_DISTRICT_COMP[],N$1,0),"ERROR")</f>
        <v>28882</v>
      </c>
      <c r="O7" s="212">
        <f>IFERROR(VLOOKUP($B7,MMWR_TRAD_AGG_DISTRICT_COMP[],O$1,0),"ERROR")</f>
        <v>23470</v>
      </c>
      <c r="P7" s="214">
        <f t="shared" si="3"/>
        <v>0.81261685478844958</v>
      </c>
      <c r="Q7" s="212">
        <f>IFERROR(VLOOKUP($B7,MMWR_TRAD_AGG_DISTRICT_COMP[],Q$1,0),"ERROR")</f>
        <v>14067</v>
      </c>
      <c r="R7" s="215">
        <f>IFERROR(VLOOKUP($B7,MMWR_TRAD_AGG_DISTRICT_COMP[],R$1,0),"ERROR")</f>
        <v>48</v>
      </c>
      <c r="S7" s="215">
        <f>IFERROR(VLOOKUP($B7,MMWR_APP_RO[],S$1,0),"ERROR")</f>
        <v>56997</v>
      </c>
      <c r="T7" s="25"/>
    </row>
    <row r="8" spans="1:20" x14ac:dyDescent="0.2">
      <c r="A8" s="107"/>
      <c r="B8" s="108" t="s">
        <v>33</v>
      </c>
      <c r="C8" s="209">
        <f>IFERROR(VLOOKUP($B8,MMWR_TRAD_AGG_RO_COMP[],C$1,0),"ERROR")</f>
        <v>7877</v>
      </c>
      <c r="D8" s="198">
        <f>IFERROR(VLOOKUP($B8,MMWR_TRAD_AGG_RO_COMP[],D$1,0),"ERROR")</f>
        <v>696.84308746980003</v>
      </c>
      <c r="E8" s="195">
        <f>IFERROR(VLOOKUP($B8,MMWR_TRAD_AGG_RO_COMP[],E$1,0),"ERROR")</f>
        <v>5480</v>
      </c>
      <c r="F8" s="191">
        <f>IFERROR(VLOOKUP($B8,MMWR_TRAD_AGG_RO_COMP[],F$1,0),"ERROR")</f>
        <v>1234</v>
      </c>
      <c r="G8" s="216">
        <f t="shared" si="0"/>
        <v>0.22518248175182481</v>
      </c>
      <c r="H8" s="190">
        <f>IFERROR(VLOOKUP($B8,MMWR_TRAD_AGG_RO_COMP[],H$1,0),"ERROR")</f>
        <v>10747</v>
      </c>
      <c r="I8" s="191">
        <f>IFERROR(VLOOKUP($B8,MMWR_TRAD_AGG_RO_COMP[],I$1,0),"ERROR")</f>
        <v>7511</v>
      </c>
      <c r="J8" s="216">
        <f t="shared" si="1"/>
        <v>0.6988927142458361</v>
      </c>
      <c r="K8" s="204">
        <f>IFERROR(VLOOKUP($B8,MMWR_TRAD_AGG_RO_COMP[],K$1,0),"ERROR")</f>
        <v>3433</v>
      </c>
      <c r="L8" s="205">
        <f>IFERROR(VLOOKUP($B8,MMWR_TRAD_AGG_RO_COMP[],L$1,0),"ERROR")</f>
        <v>3072</v>
      </c>
      <c r="M8" s="216">
        <f t="shared" si="2"/>
        <v>0.89484415962714825</v>
      </c>
      <c r="N8" s="204">
        <f>IFERROR(VLOOKUP($B8,MMWR_TRAD_AGG_RO_COMP[],N$1,0),"ERROR")</f>
        <v>1502</v>
      </c>
      <c r="O8" s="205">
        <f>IFERROR(VLOOKUP($B8,MMWR_TRAD_AGG_RO_COMP[],O$1,0),"ERROR")</f>
        <v>1205</v>
      </c>
      <c r="P8" s="216">
        <f t="shared" si="3"/>
        <v>0.80226364846870835</v>
      </c>
      <c r="Q8" s="201">
        <f>IFERROR(VLOOKUP($B8,MMWR_TRAD_AGG_RO_COMP[],Q$1,0),"ERROR")</f>
        <v>0</v>
      </c>
      <c r="R8" s="201">
        <f>IFERROR(VLOOKUP($B8,MMWR_TRAD_AGG_RO_COMP[],R$1,0),"ERROR")</f>
        <v>7</v>
      </c>
      <c r="S8" s="201">
        <f>IFERROR(VLOOKUP($B8,MMWR_APP_RO[],S$1,0),"ERROR")</f>
        <v>4852</v>
      </c>
      <c r="T8" s="25"/>
    </row>
    <row r="9" spans="1:20" x14ac:dyDescent="0.2">
      <c r="A9" s="107"/>
      <c r="B9" s="108" t="s">
        <v>35</v>
      </c>
      <c r="C9" s="209">
        <f>IFERROR(VLOOKUP($B9,MMWR_TRAD_AGG_RO_COMP[],C$1,0),"ERROR")</f>
        <v>3269</v>
      </c>
      <c r="D9" s="198">
        <f>IFERROR(VLOOKUP($B9,MMWR_TRAD_AGG_RO_COMP[],D$1,0),"ERROR")</f>
        <v>613.36371979199998</v>
      </c>
      <c r="E9" s="195">
        <f>IFERROR(VLOOKUP($B9,MMWR_TRAD_AGG_RO_COMP[],E$1,0),"ERROR")</f>
        <v>3236</v>
      </c>
      <c r="F9" s="191">
        <f>IFERROR(VLOOKUP($B9,MMWR_TRAD_AGG_RO_COMP[],F$1,0),"ERROR")</f>
        <v>647</v>
      </c>
      <c r="G9" s="216">
        <f t="shared" si="0"/>
        <v>0.19993819530284301</v>
      </c>
      <c r="H9" s="190">
        <f>IFERROR(VLOOKUP($B9,MMWR_TRAD_AGG_RO_COMP[],H$1,0),"ERROR")</f>
        <v>6586</v>
      </c>
      <c r="I9" s="191">
        <f>IFERROR(VLOOKUP($B9,MMWR_TRAD_AGG_RO_COMP[],I$1,0),"ERROR")</f>
        <v>3551</v>
      </c>
      <c r="J9" s="216">
        <f t="shared" si="1"/>
        <v>0.53917400546614025</v>
      </c>
      <c r="K9" s="204">
        <f>IFERROR(VLOOKUP($B9,MMWR_TRAD_AGG_RO_COMP[],K$1,0),"ERROR")</f>
        <v>2504</v>
      </c>
      <c r="L9" s="205">
        <f>IFERROR(VLOOKUP($B9,MMWR_TRAD_AGG_RO_COMP[],L$1,0),"ERROR")</f>
        <v>2026</v>
      </c>
      <c r="M9" s="216">
        <f t="shared" si="2"/>
        <v>0.8091054313099042</v>
      </c>
      <c r="N9" s="204">
        <f>IFERROR(VLOOKUP($B9,MMWR_TRAD_AGG_RO_COMP[],N$1,0),"ERROR")</f>
        <v>543</v>
      </c>
      <c r="O9" s="205">
        <f>IFERROR(VLOOKUP($B9,MMWR_TRAD_AGG_RO_COMP[],O$1,0),"ERROR")</f>
        <v>476</v>
      </c>
      <c r="P9" s="216">
        <f t="shared" si="3"/>
        <v>0.87661141804788212</v>
      </c>
      <c r="Q9" s="201">
        <f>IFERROR(VLOOKUP($B9,MMWR_TRAD_AGG_RO_COMP[],Q$1,0),"ERROR")</f>
        <v>0</v>
      </c>
      <c r="R9" s="201">
        <f>IFERROR(VLOOKUP($B9,MMWR_TRAD_AGG_RO_COMP[],R$1,0),"ERROR")</f>
        <v>3</v>
      </c>
      <c r="S9" s="201">
        <f>IFERROR(VLOOKUP($B9,MMWR_APP_RO[],S$1,0),"ERROR")</f>
        <v>3203</v>
      </c>
      <c r="T9" s="25"/>
    </row>
    <row r="10" spans="1:20" x14ac:dyDescent="0.2">
      <c r="A10" s="107"/>
      <c r="B10" s="108" t="s">
        <v>24</v>
      </c>
      <c r="C10" s="209">
        <f>IFERROR(VLOOKUP($B10,MMWR_TRAD_AGG_RO_COMP[],C$1,0),"ERROR")</f>
        <v>560</v>
      </c>
      <c r="D10" s="198">
        <f>IFERROR(VLOOKUP($B10,MMWR_TRAD_AGG_RO_COMP[],D$1,0),"ERROR")</f>
        <v>185.33392857140001</v>
      </c>
      <c r="E10" s="195">
        <f>IFERROR(VLOOKUP($B10,MMWR_TRAD_AGG_RO_COMP[],E$1,0),"ERROR")</f>
        <v>3784</v>
      </c>
      <c r="F10" s="191">
        <f>IFERROR(VLOOKUP($B10,MMWR_TRAD_AGG_RO_COMP[],F$1,0),"ERROR")</f>
        <v>744</v>
      </c>
      <c r="G10" s="216">
        <f t="shared" si="0"/>
        <v>0.19661733615221988</v>
      </c>
      <c r="H10" s="190">
        <f>IFERROR(VLOOKUP($B10,MMWR_TRAD_AGG_RO_COMP[],H$1,0),"ERROR")</f>
        <v>2907</v>
      </c>
      <c r="I10" s="191">
        <f>IFERROR(VLOOKUP($B10,MMWR_TRAD_AGG_RO_COMP[],I$1,0),"ERROR")</f>
        <v>937</v>
      </c>
      <c r="J10" s="216">
        <f t="shared" si="1"/>
        <v>0.32232542139662884</v>
      </c>
      <c r="K10" s="204">
        <f>IFERROR(VLOOKUP($B10,MMWR_TRAD_AGG_RO_COMP[],K$1,0),"ERROR")</f>
        <v>959</v>
      </c>
      <c r="L10" s="205">
        <f>IFERROR(VLOOKUP($B10,MMWR_TRAD_AGG_RO_COMP[],L$1,0),"ERROR")</f>
        <v>656</v>
      </c>
      <c r="M10" s="216">
        <f t="shared" si="2"/>
        <v>0.68404588112617315</v>
      </c>
      <c r="N10" s="204">
        <f>IFERROR(VLOOKUP($B10,MMWR_TRAD_AGG_RO_COMP[],N$1,0),"ERROR")</f>
        <v>312</v>
      </c>
      <c r="O10" s="205">
        <f>IFERROR(VLOOKUP($B10,MMWR_TRAD_AGG_RO_COMP[],O$1,0),"ERROR")</f>
        <v>147</v>
      </c>
      <c r="P10" s="216">
        <f t="shared" si="3"/>
        <v>0.47115384615384615</v>
      </c>
      <c r="Q10" s="201">
        <f>IFERROR(VLOOKUP($B10,MMWR_TRAD_AGG_RO_COMP[],Q$1,0),"ERROR")</f>
        <v>0</v>
      </c>
      <c r="R10" s="201">
        <f>IFERROR(VLOOKUP($B10,MMWR_TRAD_AGG_RO_COMP[],R$1,0),"ERROR")</f>
        <v>0</v>
      </c>
      <c r="S10" s="201">
        <f>IFERROR(VLOOKUP($B10,MMWR_APP_RO[],S$1,0),"ERROR")</f>
        <v>2071</v>
      </c>
      <c r="T10" s="25"/>
    </row>
    <row r="11" spans="1:20" x14ac:dyDescent="0.2">
      <c r="A11" s="107"/>
      <c r="B11" s="108" t="s">
        <v>44</v>
      </c>
      <c r="C11" s="209">
        <f>IFERROR(VLOOKUP($B11,MMWR_TRAD_AGG_RO_COMP[],C$1,0),"ERROR")</f>
        <v>549</v>
      </c>
      <c r="D11" s="198">
        <f>IFERROR(VLOOKUP($B11,MMWR_TRAD_AGG_RO_COMP[],D$1,0),"ERROR")</f>
        <v>288.89253187610001</v>
      </c>
      <c r="E11" s="195">
        <f>IFERROR(VLOOKUP($B11,MMWR_TRAD_AGG_RO_COMP[],E$1,0),"ERROR")</f>
        <v>1772</v>
      </c>
      <c r="F11" s="191">
        <f>IFERROR(VLOOKUP($B11,MMWR_TRAD_AGG_RO_COMP[],F$1,0),"ERROR")</f>
        <v>322</v>
      </c>
      <c r="G11" s="216">
        <f t="shared" si="0"/>
        <v>0.18171557562076748</v>
      </c>
      <c r="H11" s="190">
        <f>IFERROR(VLOOKUP($B11,MMWR_TRAD_AGG_RO_COMP[],H$1,0),"ERROR")</f>
        <v>2423</v>
      </c>
      <c r="I11" s="191">
        <f>IFERROR(VLOOKUP($B11,MMWR_TRAD_AGG_RO_COMP[],I$1,0),"ERROR")</f>
        <v>686</v>
      </c>
      <c r="J11" s="216">
        <f t="shared" si="1"/>
        <v>0.28312009905076352</v>
      </c>
      <c r="K11" s="204">
        <f>IFERROR(VLOOKUP($B11,MMWR_TRAD_AGG_RO_COMP[],K$1,0),"ERROR")</f>
        <v>444</v>
      </c>
      <c r="L11" s="205">
        <f>IFERROR(VLOOKUP($B11,MMWR_TRAD_AGG_RO_COMP[],L$1,0),"ERROR")</f>
        <v>243</v>
      </c>
      <c r="M11" s="216">
        <f t="shared" si="2"/>
        <v>0.54729729729729726</v>
      </c>
      <c r="N11" s="204">
        <f>IFERROR(VLOOKUP($B11,MMWR_TRAD_AGG_RO_COMP[],N$1,0),"ERROR")</f>
        <v>820</v>
      </c>
      <c r="O11" s="205">
        <f>IFERROR(VLOOKUP($B11,MMWR_TRAD_AGG_RO_COMP[],O$1,0),"ERROR")</f>
        <v>682</v>
      </c>
      <c r="P11" s="216">
        <f t="shared" si="3"/>
        <v>0.83170731707317069</v>
      </c>
      <c r="Q11" s="201">
        <f>IFERROR(VLOOKUP($B11,MMWR_TRAD_AGG_RO_COMP[],Q$1,0),"ERROR")</f>
        <v>0</v>
      </c>
      <c r="R11" s="201">
        <f>IFERROR(VLOOKUP($B11,MMWR_TRAD_AGG_RO_COMP[],R$1,0),"ERROR")</f>
        <v>5</v>
      </c>
      <c r="S11" s="201">
        <f>IFERROR(VLOOKUP($B11,MMWR_APP_RO[],S$1,0),"ERROR")</f>
        <v>1409</v>
      </c>
      <c r="T11" s="25"/>
    </row>
    <row r="12" spans="1:20" x14ac:dyDescent="0.2">
      <c r="A12" s="107"/>
      <c r="B12" s="108" t="s">
        <v>47</v>
      </c>
      <c r="C12" s="209">
        <f>IFERROR(VLOOKUP($B12,MMWR_TRAD_AGG_RO_COMP[],C$1,0),"ERROR")</f>
        <v>1912</v>
      </c>
      <c r="D12" s="198">
        <f>IFERROR(VLOOKUP($B12,MMWR_TRAD_AGG_RO_COMP[],D$1,0),"ERROR")</f>
        <v>257.50366108790001</v>
      </c>
      <c r="E12" s="195">
        <f>IFERROR(VLOOKUP($B12,MMWR_TRAD_AGG_RO_COMP[],E$1,0),"ERROR")</f>
        <v>2186</v>
      </c>
      <c r="F12" s="191">
        <f>IFERROR(VLOOKUP($B12,MMWR_TRAD_AGG_RO_COMP[],F$1,0),"ERROR")</f>
        <v>401</v>
      </c>
      <c r="G12" s="216">
        <f t="shared" si="0"/>
        <v>0.18344007319304667</v>
      </c>
      <c r="H12" s="190">
        <f>IFERROR(VLOOKUP($B12,MMWR_TRAD_AGG_RO_COMP[],H$1,0),"ERROR")</f>
        <v>3539</v>
      </c>
      <c r="I12" s="191">
        <f>IFERROR(VLOOKUP($B12,MMWR_TRAD_AGG_RO_COMP[],I$1,0),"ERROR")</f>
        <v>1855</v>
      </c>
      <c r="J12" s="216">
        <f t="shared" si="1"/>
        <v>0.52415936705283983</v>
      </c>
      <c r="K12" s="204">
        <f>IFERROR(VLOOKUP($B12,MMWR_TRAD_AGG_RO_COMP[],K$1,0),"ERROR")</f>
        <v>463</v>
      </c>
      <c r="L12" s="205">
        <f>IFERROR(VLOOKUP($B12,MMWR_TRAD_AGG_RO_COMP[],L$1,0),"ERROR")</f>
        <v>373</v>
      </c>
      <c r="M12" s="216">
        <f t="shared" si="2"/>
        <v>0.80561555075593949</v>
      </c>
      <c r="N12" s="204">
        <f>IFERROR(VLOOKUP($B12,MMWR_TRAD_AGG_RO_COMP[],N$1,0),"ERROR")</f>
        <v>1315</v>
      </c>
      <c r="O12" s="205">
        <f>IFERROR(VLOOKUP($B12,MMWR_TRAD_AGG_RO_COMP[],O$1,0),"ERROR")</f>
        <v>969</v>
      </c>
      <c r="P12" s="216">
        <f t="shared" si="3"/>
        <v>0.73688212927756658</v>
      </c>
      <c r="Q12" s="201">
        <f>IFERROR(VLOOKUP($B12,MMWR_TRAD_AGG_RO_COMP[],Q$1,0),"ERROR")</f>
        <v>1</v>
      </c>
      <c r="R12" s="201">
        <f>IFERROR(VLOOKUP($B12,MMWR_TRAD_AGG_RO_COMP[],R$1,0),"ERROR")</f>
        <v>4</v>
      </c>
      <c r="S12" s="201">
        <f>IFERROR(VLOOKUP($B12,MMWR_APP_RO[],S$1,0),"ERROR")</f>
        <v>2589</v>
      </c>
      <c r="T12" s="25"/>
    </row>
    <row r="13" spans="1:20" x14ac:dyDescent="0.2">
      <c r="A13" s="107"/>
      <c r="B13" s="108" t="s">
        <v>54</v>
      </c>
      <c r="C13" s="209">
        <f>IFERROR(VLOOKUP($B13,MMWR_TRAD_AGG_RO_COMP[],C$1,0),"ERROR")</f>
        <v>908</v>
      </c>
      <c r="D13" s="198">
        <f>IFERROR(VLOOKUP($B13,MMWR_TRAD_AGG_RO_COMP[],D$1,0),"ERROR")</f>
        <v>264.13986784140002</v>
      </c>
      <c r="E13" s="195">
        <f>IFERROR(VLOOKUP($B13,MMWR_TRAD_AGG_RO_COMP[],E$1,0),"ERROR")</f>
        <v>1184</v>
      </c>
      <c r="F13" s="191">
        <f>IFERROR(VLOOKUP($B13,MMWR_TRAD_AGG_RO_COMP[],F$1,0),"ERROR")</f>
        <v>175</v>
      </c>
      <c r="G13" s="216">
        <f t="shared" si="0"/>
        <v>0.14780405405405406</v>
      </c>
      <c r="H13" s="190">
        <f>IFERROR(VLOOKUP($B13,MMWR_TRAD_AGG_RO_COMP[],H$1,0),"ERROR")</f>
        <v>1746</v>
      </c>
      <c r="I13" s="191">
        <f>IFERROR(VLOOKUP($B13,MMWR_TRAD_AGG_RO_COMP[],I$1,0),"ERROR")</f>
        <v>740</v>
      </c>
      <c r="J13" s="216">
        <f t="shared" si="1"/>
        <v>0.42382588774341351</v>
      </c>
      <c r="K13" s="204">
        <f>IFERROR(VLOOKUP($B13,MMWR_TRAD_AGG_RO_COMP[],K$1,0),"ERROR")</f>
        <v>218</v>
      </c>
      <c r="L13" s="205">
        <f>IFERROR(VLOOKUP($B13,MMWR_TRAD_AGG_RO_COMP[],L$1,0),"ERROR")</f>
        <v>143</v>
      </c>
      <c r="M13" s="216">
        <f t="shared" si="2"/>
        <v>0.65596330275229353</v>
      </c>
      <c r="N13" s="204">
        <f>IFERROR(VLOOKUP($B13,MMWR_TRAD_AGG_RO_COMP[],N$1,0),"ERROR")</f>
        <v>132</v>
      </c>
      <c r="O13" s="205">
        <f>IFERROR(VLOOKUP($B13,MMWR_TRAD_AGG_RO_COMP[],O$1,0),"ERROR")</f>
        <v>50</v>
      </c>
      <c r="P13" s="216">
        <f t="shared" si="3"/>
        <v>0.37878787878787878</v>
      </c>
      <c r="Q13" s="201">
        <f>IFERROR(VLOOKUP($B13,MMWR_TRAD_AGG_RO_COMP[],Q$1,0),"ERROR")</f>
        <v>0</v>
      </c>
      <c r="R13" s="201">
        <f>IFERROR(VLOOKUP($B13,MMWR_TRAD_AGG_RO_COMP[],R$1,0),"ERROR")</f>
        <v>1</v>
      </c>
      <c r="S13" s="201">
        <f>IFERROR(VLOOKUP($B13,MMWR_APP_RO[],S$1,0),"ERROR")</f>
        <v>576</v>
      </c>
      <c r="T13" s="25"/>
    </row>
    <row r="14" spans="1:20" x14ac:dyDescent="0.2">
      <c r="A14" s="107"/>
      <c r="B14" s="108" t="s">
        <v>60</v>
      </c>
      <c r="C14" s="209">
        <f>IFERROR(VLOOKUP($B14,MMWR_TRAD_AGG_RO_COMP[],C$1,0),"ERROR")</f>
        <v>2301</v>
      </c>
      <c r="D14" s="198">
        <f>IFERROR(VLOOKUP($B14,MMWR_TRAD_AGG_RO_COMP[],D$1,0),"ERROR")</f>
        <v>304.90352020860001</v>
      </c>
      <c r="E14" s="195">
        <f>IFERROR(VLOOKUP($B14,MMWR_TRAD_AGG_RO_COMP[],E$1,0),"ERROR")</f>
        <v>4656</v>
      </c>
      <c r="F14" s="191">
        <f>IFERROR(VLOOKUP($B14,MMWR_TRAD_AGG_RO_COMP[],F$1,0),"ERROR")</f>
        <v>1395</v>
      </c>
      <c r="G14" s="216">
        <f t="shared" si="0"/>
        <v>0.29961340206185566</v>
      </c>
      <c r="H14" s="190">
        <f>IFERROR(VLOOKUP($B14,MMWR_TRAD_AGG_RO_COMP[],H$1,0),"ERROR")</f>
        <v>5122</v>
      </c>
      <c r="I14" s="191">
        <f>IFERROR(VLOOKUP($B14,MMWR_TRAD_AGG_RO_COMP[],I$1,0),"ERROR")</f>
        <v>2015</v>
      </c>
      <c r="J14" s="216">
        <f t="shared" si="1"/>
        <v>0.39340101522842641</v>
      </c>
      <c r="K14" s="204">
        <f>IFERROR(VLOOKUP($B14,MMWR_TRAD_AGG_RO_COMP[],K$1,0),"ERROR")</f>
        <v>2012</v>
      </c>
      <c r="L14" s="205">
        <f>IFERROR(VLOOKUP($B14,MMWR_TRAD_AGG_RO_COMP[],L$1,0),"ERROR")</f>
        <v>1739</v>
      </c>
      <c r="M14" s="216">
        <f t="shared" si="2"/>
        <v>0.86431411530815105</v>
      </c>
      <c r="N14" s="204">
        <f>IFERROR(VLOOKUP($B14,MMWR_TRAD_AGG_RO_COMP[],N$1,0),"ERROR")</f>
        <v>3988</v>
      </c>
      <c r="O14" s="205">
        <f>IFERROR(VLOOKUP($B14,MMWR_TRAD_AGG_RO_COMP[],O$1,0),"ERROR")</f>
        <v>2882</v>
      </c>
      <c r="P14" s="216">
        <f t="shared" si="3"/>
        <v>0.72266800401203612</v>
      </c>
      <c r="Q14" s="201">
        <f>IFERROR(VLOOKUP($B14,MMWR_TRAD_AGG_RO_COMP[],Q$1,0),"ERROR")</f>
        <v>0</v>
      </c>
      <c r="R14" s="201">
        <f>IFERROR(VLOOKUP($B14,MMWR_TRAD_AGG_RO_COMP[],R$1,0),"ERROR")</f>
        <v>1</v>
      </c>
      <c r="S14" s="201">
        <f>IFERROR(VLOOKUP($B14,MMWR_APP_RO[],S$1,0),"ERROR")</f>
        <v>3307</v>
      </c>
      <c r="T14" s="25"/>
    </row>
    <row r="15" spans="1:20" x14ac:dyDescent="0.2">
      <c r="A15" s="107"/>
      <c r="B15" s="108" t="s">
        <v>61</v>
      </c>
      <c r="C15" s="209">
        <f>IFERROR(VLOOKUP($B15,MMWR_TRAD_AGG_RO_COMP[],C$1,0),"ERROR")</f>
        <v>448</v>
      </c>
      <c r="D15" s="198">
        <f>IFERROR(VLOOKUP($B15,MMWR_TRAD_AGG_RO_COMP[],D$1,0),"ERROR")</f>
        <v>253.41294642860001</v>
      </c>
      <c r="E15" s="195">
        <f>IFERROR(VLOOKUP($B15,MMWR_TRAD_AGG_RO_COMP[],E$1,0),"ERROR")</f>
        <v>2740</v>
      </c>
      <c r="F15" s="191">
        <f>IFERROR(VLOOKUP($B15,MMWR_TRAD_AGG_RO_COMP[],F$1,0),"ERROR")</f>
        <v>699</v>
      </c>
      <c r="G15" s="216">
        <f t="shared" si="0"/>
        <v>0.25510948905109487</v>
      </c>
      <c r="H15" s="190">
        <f>IFERROR(VLOOKUP($B15,MMWR_TRAD_AGG_RO_COMP[],H$1,0),"ERROR")</f>
        <v>1658</v>
      </c>
      <c r="I15" s="191">
        <f>IFERROR(VLOOKUP($B15,MMWR_TRAD_AGG_RO_COMP[],I$1,0),"ERROR")</f>
        <v>355</v>
      </c>
      <c r="J15" s="216">
        <f t="shared" si="1"/>
        <v>0.2141133896260555</v>
      </c>
      <c r="K15" s="204">
        <f>IFERROR(VLOOKUP($B15,MMWR_TRAD_AGG_RO_COMP[],K$1,0),"ERROR")</f>
        <v>512</v>
      </c>
      <c r="L15" s="205">
        <f>IFERROR(VLOOKUP($B15,MMWR_TRAD_AGG_RO_COMP[],L$1,0),"ERROR")</f>
        <v>478</v>
      </c>
      <c r="M15" s="216">
        <f t="shared" si="2"/>
        <v>0.93359375</v>
      </c>
      <c r="N15" s="204">
        <f>IFERROR(VLOOKUP($B15,MMWR_TRAD_AGG_RO_COMP[],N$1,0),"ERROR")</f>
        <v>1446</v>
      </c>
      <c r="O15" s="205">
        <f>IFERROR(VLOOKUP($B15,MMWR_TRAD_AGG_RO_COMP[],O$1,0),"ERROR")</f>
        <v>1206</v>
      </c>
      <c r="P15" s="216">
        <f t="shared" si="3"/>
        <v>0.8340248962655602</v>
      </c>
      <c r="Q15" s="201">
        <f>IFERROR(VLOOKUP($B15,MMWR_TRAD_AGG_RO_COMP[],Q$1,0),"ERROR")</f>
        <v>0</v>
      </c>
      <c r="R15" s="201">
        <f>IFERROR(VLOOKUP($B15,MMWR_TRAD_AGG_RO_COMP[],R$1,0),"ERROR")</f>
        <v>1</v>
      </c>
      <c r="S15" s="201">
        <f>IFERROR(VLOOKUP($B15,MMWR_APP_RO[],S$1,0),"ERROR")</f>
        <v>2456</v>
      </c>
      <c r="T15" s="25"/>
    </row>
    <row r="16" spans="1:20" x14ac:dyDescent="0.2">
      <c r="A16" s="107"/>
      <c r="B16" s="108" t="s">
        <v>63</v>
      </c>
      <c r="C16" s="209">
        <f>IFERROR(VLOOKUP($B16,MMWR_TRAD_AGG_RO_COMP[],C$1,0),"ERROR")</f>
        <v>4229</v>
      </c>
      <c r="D16" s="198">
        <f>IFERROR(VLOOKUP($B16,MMWR_TRAD_AGG_RO_COMP[],D$1,0),"ERROR")</f>
        <v>423.61551194139997</v>
      </c>
      <c r="E16" s="195">
        <f>IFERROR(VLOOKUP($B16,MMWR_TRAD_AGG_RO_COMP[],E$1,0),"ERROR")</f>
        <v>13888</v>
      </c>
      <c r="F16" s="191">
        <f>IFERROR(VLOOKUP($B16,MMWR_TRAD_AGG_RO_COMP[],F$1,0),"ERROR")</f>
        <v>3639</v>
      </c>
      <c r="G16" s="216">
        <f t="shared" si="0"/>
        <v>0.26202476958525345</v>
      </c>
      <c r="H16" s="190">
        <f>IFERROR(VLOOKUP($B16,MMWR_TRAD_AGG_RO_COMP[],H$1,0),"ERROR")</f>
        <v>8384</v>
      </c>
      <c r="I16" s="191">
        <f>IFERROR(VLOOKUP($B16,MMWR_TRAD_AGG_RO_COMP[],I$1,0),"ERROR")</f>
        <v>4423</v>
      </c>
      <c r="J16" s="216">
        <f t="shared" si="1"/>
        <v>0.52755248091603058</v>
      </c>
      <c r="K16" s="204">
        <f>IFERROR(VLOOKUP($B16,MMWR_TRAD_AGG_RO_COMP[],K$1,0),"ERROR")</f>
        <v>1721</v>
      </c>
      <c r="L16" s="205">
        <f>IFERROR(VLOOKUP($B16,MMWR_TRAD_AGG_RO_COMP[],L$1,0),"ERROR")</f>
        <v>1449</v>
      </c>
      <c r="M16" s="216">
        <f t="shared" si="2"/>
        <v>0.84195235328297502</v>
      </c>
      <c r="N16" s="204">
        <f>IFERROR(VLOOKUP($B16,MMWR_TRAD_AGG_RO_COMP[],N$1,0),"ERROR")</f>
        <v>6984</v>
      </c>
      <c r="O16" s="205">
        <f>IFERROR(VLOOKUP($B16,MMWR_TRAD_AGG_RO_COMP[],O$1,0),"ERROR")</f>
        <v>6361</v>
      </c>
      <c r="P16" s="216">
        <f t="shared" si="3"/>
        <v>0.91079610538373423</v>
      </c>
      <c r="Q16" s="201">
        <f>IFERROR(VLOOKUP($B16,MMWR_TRAD_AGG_RO_COMP[],Q$1,0),"ERROR")</f>
        <v>14059</v>
      </c>
      <c r="R16" s="201">
        <f>IFERROR(VLOOKUP($B16,MMWR_TRAD_AGG_RO_COMP[],R$1,0),"ERROR")</f>
        <v>0</v>
      </c>
      <c r="S16" s="201">
        <f>IFERROR(VLOOKUP($B16,MMWR_APP_RO[],S$1,0),"ERROR")</f>
        <v>5842</v>
      </c>
      <c r="T16" s="25"/>
    </row>
    <row r="17" spans="1:20" x14ac:dyDescent="0.2">
      <c r="A17" s="107"/>
      <c r="B17" s="108" t="s">
        <v>65</v>
      </c>
      <c r="C17" s="209">
        <f>IFERROR(VLOOKUP($B17,MMWR_TRAD_AGG_RO_COMP[],C$1,0),"ERROR")</f>
        <v>3046</v>
      </c>
      <c r="D17" s="198">
        <f>IFERROR(VLOOKUP($B17,MMWR_TRAD_AGG_RO_COMP[],D$1,0),"ERROR")</f>
        <v>381.73539067630003</v>
      </c>
      <c r="E17" s="195">
        <f>IFERROR(VLOOKUP($B17,MMWR_TRAD_AGG_RO_COMP[],E$1,0),"ERROR")</f>
        <v>4810</v>
      </c>
      <c r="F17" s="191">
        <f>IFERROR(VLOOKUP($B17,MMWR_TRAD_AGG_RO_COMP[],F$1,0),"ERROR")</f>
        <v>1508</v>
      </c>
      <c r="G17" s="216">
        <f t="shared" si="0"/>
        <v>0.31351351351351353</v>
      </c>
      <c r="H17" s="190">
        <f>IFERROR(VLOOKUP($B17,MMWR_TRAD_AGG_RO_COMP[],H$1,0),"ERROR")</f>
        <v>5647</v>
      </c>
      <c r="I17" s="191">
        <f>IFERROR(VLOOKUP($B17,MMWR_TRAD_AGG_RO_COMP[],I$1,0),"ERROR")</f>
        <v>3066</v>
      </c>
      <c r="J17" s="216">
        <f t="shared" si="1"/>
        <v>0.54294315565787143</v>
      </c>
      <c r="K17" s="204">
        <f>IFERROR(VLOOKUP($B17,MMWR_TRAD_AGG_RO_COMP[],K$1,0),"ERROR")</f>
        <v>540</v>
      </c>
      <c r="L17" s="205">
        <f>IFERROR(VLOOKUP($B17,MMWR_TRAD_AGG_RO_COMP[],L$1,0),"ERROR")</f>
        <v>437</v>
      </c>
      <c r="M17" s="216">
        <f t="shared" si="2"/>
        <v>0.80925925925925923</v>
      </c>
      <c r="N17" s="204">
        <f>IFERROR(VLOOKUP($B17,MMWR_TRAD_AGG_RO_COMP[],N$1,0),"ERROR")</f>
        <v>814</v>
      </c>
      <c r="O17" s="205">
        <f>IFERROR(VLOOKUP($B17,MMWR_TRAD_AGG_RO_COMP[],O$1,0),"ERROR")</f>
        <v>588</v>
      </c>
      <c r="P17" s="216">
        <f t="shared" si="3"/>
        <v>0.72235872235872234</v>
      </c>
      <c r="Q17" s="201">
        <f>IFERROR(VLOOKUP($B17,MMWR_TRAD_AGG_RO_COMP[],Q$1,0),"ERROR")</f>
        <v>0</v>
      </c>
      <c r="R17" s="201">
        <f>IFERROR(VLOOKUP($B17,MMWR_TRAD_AGG_RO_COMP[],R$1,0),"ERROR")</f>
        <v>1</v>
      </c>
      <c r="S17" s="201">
        <f>IFERROR(VLOOKUP($B17,MMWR_APP_RO[],S$1,0),"ERROR")</f>
        <v>4931</v>
      </c>
      <c r="T17" s="25"/>
    </row>
    <row r="18" spans="1:20" x14ac:dyDescent="0.2">
      <c r="A18" s="107"/>
      <c r="B18" s="108" t="s">
        <v>67</v>
      </c>
      <c r="C18" s="209">
        <f>IFERROR(VLOOKUP($B18,MMWR_TRAD_AGG_RO_COMP[],C$1,0),"ERROR")</f>
        <v>868</v>
      </c>
      <c r="D18" s="198">
        <f>IFERROR(VLOOKUP($B18,MMWR_TRAD_AGG_RO_COMP[],D$1,0),"ERROR")</f>
        <v>308.63018433180002</v>
      </c>
      <c r="E18" s="195">
        <f>IFERROR(VLOOKUP($B18,MMWR_TRAD_AGG_RO_COMP[],E$1,0),"ERROR")</f>
        <v>2397</v>
      </c>
      <c r="F18" s="191">
        <f>IFERROR(VLOOKUP($B18,MMWR_TRAD_AGG_RO_COMP[],F$1,0),"ERROR")</f>
        <v>346</v>
      </c>
      <c r="G18" s="216">
        <f t="shared" si="0"/>
        <v>0.14434710054234459</v>
      </c>
      <c r="H18" s="190">
        <f>IFERROR(VLOOKUP($B18,MMWR_TRAD_AGG_RO_COMP[],H$1,0),"ERROR")</f>
        <v>3355</v>
      </c>
      <c r="I18" s="191">
        <f>IFERROR(VLOOKUP($B18,MMWR_TRAD_AGG_RO_COMP[],I$1,0),"ERROR")</f>
        <v>813</v>
      </c>
      <c r="J18" s="216">
        <f t="shared" si="1"/>
        <v>0.24232488822652756</v>
      </c>
      <c r="K18" s="204">
        <f>IFERROR(VLOOKUP($B18,MMWR_TRAD_AGG_RO_COMP[],K$1,0),"ERROR")</f>
        <v>1466</v>
      </c>
      <c r="L18" s="205">
        <f>IFERROR(VLOOKUP($B18,MMWR_TRAD_AGG_RO_COMP[],L$1,0),"ERROR")</f>
        <v>1371</v>
      </c>
      <c r="M18" s="216">
        <f t="shared" si="2"/>
        <v>0.93519781718963169</v>
      </c>
      <c r="N18" s="204">
        <f>IFERROR(VLOOKUP($B18,MMWR_TRAD_AGG_RO_COMP[],N$1,0),"ERROR")</f>
        <v>428</v>
      </c>
      <c r="O18" s="205">
        <f>IFERROR(VLOOKUP($B18,MMWR_TRAD_AGG_RO_COMP[],O$1,0),"ERROR")</f>
        <v>249</v>
      </c>
      <c r="P18" s="216">
        <f t="shared" si="3"/>
        <v>0.58177570093457942</v>
      </c>
      <c r="Q18" s="201">
        <f>IFERROR(VLOOKUP($B18,MMWR_TRAD_AGG_RO_COMP[],Q$1,0),"ERROR")</f>
        <v>0</v>
      </c>
      <c r="R18" s="201">
        <f>IFERROR(VLOOKUP($B18,MMWR_TRAD_AGG_RO_COMP[],R$1,0),"ERROR")</f>
        <v>1</v>
      </c>
      <c r="S18" s="201">
        <f>IFERROR(VLOOKUP($B18,MMWR_APP_RO[],S$1,0),"ERROR")</f>
        <v>1132</v>
      </c>
      <c r="T18" s="25"/>
    </row>
    <row r="19" spans="1:20" x14ac:dyDescent="0.2">
      <c r="A19" s="107"/>
      <c r="B19" s="108" t="s">
        <v>69</v>
      </c>
      <c r="C19" s="209">
        <f>IFERROR(VLOOKUP($B19,MMWR_TRAD_AGG_RO_COMP[],C$1,0),"ERROR")</f>
        <v>14531</v>
      </c>
      <c r="D19" s="198">
        <f>IFERROR(VLOOKUP($B19,MMWR_TRAD_AGG_RO_COMP[],D$1,0),"ERROR")</f>
        <v>337.67552129929999</v>
      </c>
      <c r="E19" s="195">
        <f>IFERROR(VLOOKUP($B19,MMWR_TRAD_AGG_RO_COMP[],E$1,0),"ERROR")</f>
        <v>11521</v>
      </c>
      <c r="F19" s="191">
        <f>IFERROR(VLOOKUP($B19,MMWR_TRAD_AGG_RO_COMP[],F$1,0),"ERROR")</f>
        <v>2147</v>
      </c>
      <c r="G19" s="216">
        <f t="shared" si="0"/>
        <v>0.18635535109799498</v>
      </c>
      <c r="H19" s="190">
        <f>IFERROR(VLOOKUP($B19,MMWR_TRAD_AGG_RO_COMP[],H$1,0),"ERROR")</f>
        <v>20459</v>
      </c>
      <c r="I19" s="191">
        <f>IFERROR(VLOOKUP($B19,MMWR_TRAD_AGG_RO_COMP[],I$1,0),"ERROR")</f>
        <v>10549</v>
      </c>
      <c r="J19" s="216">
        <f t="shared" si="1"/>
        <v>0.51561659905176205</v>
      </c>
      <c r="K19" s="204">
        <f>IFERROR(VLOOKUP($B19,MMWR_TRAD_AGG_RO_COMP[],K$1,0),"ERROR")</f>
        <v>7956</v>
      </c>
      <c r="L19" s="205">
        <f>IFERROR(VLOOKUP($B19,MMWR_TRAD_AGG_RO_COMP[],L$1,0),"ERROR")</f>
        <v>6508</v>
      </c>
      <c r="M19" s="216">
        <f t="shared" si="2"/>
        <v>0.81799899446958269</v>
      </c>
      <c r="N19" s="204">
        <f>IFERROR(VLOOKUP($B19,MMWR_TRAD_AGG_RO_COMP[],N$1,0),"ERROR")</f>
        <v>4652</v>
      </c>
      <c r="O19" s="205">
        <f>IFERROR(VLOOKUP($B19,MMWR_TRAD_AGG_RO_COMP[],O$1,0),"ERROR")</f>
        <v>4056</v>
      </c>
      <c r="P19" s="216">
        <f t="shared" si="3"/>
        <v>0.87188306104901114</v>
      </c>
      <c r="Q19" s="201">
        <f>IFERROR(VLOOKUP($B19,MMWR_TRAD_AGG_RO_COMP[],Q$1,0),"ERROR")</f>
        <v>5</v>
      </c>
      <c r="R19" s="201">
        <f>IFERROR(VLOOKUP($B19,MMWR_TRAD_AGG_RO_COMP[],R$1,0),"ERROR")</f>
        <v>7</v>
      </c>
      <c r="S19" s="201">
        <f>IFERROR(VLOOKUP($B19,MMWR_APP_RO[],S$1,0),"ERROR")</f>
        <v>14752</v>
      </c>
      <c r="T19" s="25"/>
    </row>
    <row r="20" spans="1:20" x14ac:dyDescent="0.2">
      <c r="A20" s="107"/>
      <c r="B20" s="108" t="s">
        <v>78</v>
      </c>
      <c r="C20" s="209">
        <f>IFERROR(VLOOKUP($B20,MMWR_TRAD_AGG_RO_COMP[],C$1,0),"ERROR")</f>
        <v>1273</v>
      </c>
      <c r="D20" s="198">
        <f>IFERROR(VLOOKUP($B20,MMWR_TRAD_AGG_RO_COMP[],D$1,0),"ERROR")</f>
        <v>279.26315789469999</v>
      </c>
      <c r="E20" s="195">
        <f>IFERROR(VLOOKUP($B20,MMWR_TRAD_AGG_RO_COMP[],E$1,0),"ERROR")</f>
        <v>1478</v>
      </c>
      <c r="F20" s="191">
        <f>IFERROR(VLOOKUP($B20,MMWR_TRAD_AGG_RO_COMP[],F$1,0),"ERROR")</f>
        <v>163</v>
      </c>
      <c r="G20" s="216">
        <f t="shared" si="0"/>
        <v>0.11028416779431664</v>
      </c>
      <c r="H20" s="190">
        <f>IFERROR(VLOOKUP($B20,MMWR_TRAD_AGG_RO_COMP[],H$1,0),"ERROR")</f>
        <v>2435</v>
      </c>
      <c r="I20" s="191">
        <f>IFERROR(VLOOKUP($B20,MMWR_TRAD_AGG_RO_COMP[],I$1,0),"ERROR")</f>
        <v>1004</v>
      </c>
      <c r="J20" s="216">
        <f t="shared" si="1"/>
        <v>0.41232032854209444</v>
      </c>
      <c r="K20" s="204">
        <f>IFERROR(VLOOKUP($B20,MMWR_TRAD_AGG_RO_COMP[],K$1,0),"ERROR")</f>
        <v>863</v>
      </c>
      <c r="L20" s="205">
        <f>IFERROR(VLOOKUP($B20,MMWR_TRAD_AGG_RO_COMP[],L$1,0),"ERROR")</f>
        <v>644</v>
      </c>
      <c r="M20" s="216">
        <f t="shared" si="2"/>
        <v>0.74623406720741603</v>
      </c>
      <c r="N20" s="204">
        <f>IFERROR(VLOOKUP($B20,MMWR_TRAD_AGG_RO_COMP[],N$1,0),"ERROR")</f>
        <v>225</v>
      </c>
      <c r="O20" s="205">
        <f>IFERROR(VLOOKUP($B20,MMWR_TRAD_AGG_RO_COMP[],O$1,0),"ERROR")</f>
        <v>149</v>
      </c>
      <c r="P20" s="216">
        <f t="shared" si="3"/>
        <v>0.66222222222222227</v>
      </c>
      <c r="Q20" s="201">
        <f>IFERROR(VLOOKUP($B20,MMWR_TRAD_AGG_RO_COMP[],Q$1,0),"ERROR")</f>
        <v>1</v>
      </c>
      <c r="R20" s="201">
        <f>IFERROR(VLOOKUP($B20,MMWR_TRAD_AGG_RO_COMP[],R$1,0),"ERROR")</f>
        <v>0</v>
      </c>
      <c r="S20" s="201">
        <f>IFERROR(VLOOKUP($B20,MMWR_APP_RO[],S$1,0),"ERROR")</f>
        <v>994</v>
      </c>
      <c r="T20" s="25"/>
    </row>
    <row r="21" spans="1:20" x14ac:dyDescent="0.2">
      <c r="A21" s="107"/>
      <c r="B21" s="108" t="s">
        <v>429</v>
      </c>
      <c r="C21" s="209">
        <f>IFERROR(VLOOKUP($B21,MMWR_TRAD_AGG_RO_COMP[],C$1,0),"ERROR")</f>
        <v>5138</v>
      </c>
      <c r="D21" s="198">
        <f>IFERROR(VLOOKUP($B21,MMWR_TRAD_AGG_RO_COMP[],D$1,0),"ERROR")</f>
        <v>641.08875048660002</v>
      </c>
      <c r="E21" s="195">
        <f>IFERROR(VLOOKUP($B21,MMWR_TRAD_AGG_RO_COMP[],E$1,0),"ERROR")</f>
        <v>705</v>
      </c>
      <c r="F21" s="191">
        <f>IFERROR(VLOOKUP($B21,MMWR_TRAD_AGG_RO_COMP[],F$1,0),"ERROR")</f>
        <v>113</v>
      </c>
      <c r="G21" s="216">
        <f t="shared" si="0"/>
        <v>0.16028368794326242</v>
      </c>
      <c r="H21" s="190">
        <f>IFERROR(VLOOKUP($B21,MMWR_TRAD_AGG_RO_COMP[],H$1,0),"ERROR")</f>
        <v>5543</v>
      </c>
      <c r="I21" s="191">
        <f>IFERROR(VLOOKUP($B21,MMWR_TRAD_AGG_RO_COMP[],I$1,0),"ERROR")</f>
        <v>4214</v>
      </c>
      <c r="J21" s="216">
        <f t="shared" si="1"/>
        <v>0.76023813819231467</v>
      </c>
      <c r="K21" s="204">
        <f>IFERROR(VLOOKUP($B21,MMWR_TRAD_AGG_RO_COMP[],K$1,0),"ERROR")</f>
        <v>1061</v>
      </c>
      <c r="L21" s="205">
        <f>IFERROR(VLOOKUP($B21,MMWR_TRAD_AGG_RO_COMP[],L$1,0),"ERROR")</f>
        <v>728</v>
      </c>
      <c r="M21" s="216">
        <f t="shared" si="2"/>
        <v>0.68614514608859567</v>
      </c>
      <c r="N21" s="204">
        <f>IFERROR(VLOOKUP($B21,MMWR_TRAD_AGG_RO_COMP[],N$1,0),"ERROR")</f>
        <v>1156</v>
      </c>
      <c r="O21" s="205">
        <f>IFERROR(VLOOKUP($B21,MMWR_TRAD_AGG_RO_COMP[],O$1,0),"ERROR")</f>
        <v>1136</v>
      </c>
      <c r="P21" s="216">
        <f t="shared" si="3"/>
        <v>0.98269896193771622</v>
      </c>
      <c r="Q21" s="201">
        <f>IFERROR(VLOOKUP($B21,MMWR_TRAD_AGG_RO_COMP[],Q$1,0),"ERROR")</f>
        <v>0</v>
      </c>
      <c r="R21" s="201">
        <f>IFERROR(VLOOKUP($B21,MMWR_TRAD_AGG_RO_COMP[],R$1,0),"ERROR")</f>
        <v>0</v>
      </c>
      <c r="S21" s="201">
        <f>IFERROR(VLOOKUP($B21,MMWR_APP_RO[],S$1,0),"ERROR")</f>
        <v>34</v>
      </c>
      <c r="T21" s="25"/>
    </row>
    <row r="22" spans="1:20" x14ac:dyDescent="0.2">
      <c r="A22" s="107"/>
      <c r="B22" s="108" t="s">
        <v>135</v>
      </c>
      <c r="C22" s="209">
        <f>IFERROR(VLOOKUP($B22,MMWR_TRAD_AGG_RO_COMP[],C$1,0),"ERROR")</f>
        <v>485</v>
      </c>
      <c r="D22" s="198">
        <f>IFERROR(VLOOKUP($B22,MMWR_TRAD_AGG_RO_COMP[],D$1,0),"ERROR")</f>
        <v>343.54020618560003</v>
      </c>
      <c r="E22" s="195">
        <f>IFERROR(VLOOKUP($B22,MMWR_TRAD_AGG_RO_COMP[],E$1,0),"ERROR")</f>
        <v>496</v>
      </c>
      <c r="F22" s="191">
        <f>IFERROR(VLOOKUP($B22,MMWR_TRAD_AGG_RO_COMP[],F$1,0),"ERROR")</f>
        <v>119</v>
      </c>
      <c r="G22" s="216">
        <f t="shared" si="0"/>
        <v>0.23991935483870969</v>
      </c>
      <c r="H22" s="190">
        <f>IFERROR(VLOOKUP($B22,MMWR_TRAD_AGG_RO_COMP[],H$1,0),"ERROR")</f>
        <v>1064</v>
      </c>
      <c r="I22" s="191">
        <f>IFERROR(VLOOKUP($B22,MMWR_TRAD_AGG_RO_COMP[],I$1,0),"ERROR")</f>
        <v>438</v>
      </c>
      <c r="J22" s="216">
        <f t="shared" si="1"/>
        <v>0.41165413533834588</v>
      </c>
      <c r="K22" s="204">
        <f>IFERROR(VLOOKUP($B22,MMWR_TRAD_AGG_RO_COMP[],K$1,0),"ERROR")</f>
        <v>157</v>
      </c>
      <c r="L22" s="205">
        <f>IFERROR(VLOOKUP($B22,MMWR_TRAD_AGG_RO_COMP[],L$1,0),"ERROR")</f>
        <v>125</v>
      </c>
      <c r="M22" s="216">
        <f t="shared" si="2"/>
        <v>0.79617834394904463</v>
      </c>
      <c r="N22" s="204">
        <f>IFERROR(VLOOKUP($B22,MMWR_TRAD_AGG_RO_COMP[],N$1,0),"ERROR")</f>
        <v>179</v>
      </c>
      <c r="O22" s="205">
        <f>IFERROR(VLOOKUP($B22,MMWR_TRAD_AGG_RO_COMP[],O$1,0),"ERROR")</f>
        <v>101</v>
      </c>
      <c r="P22" s="216">
        <f t="shared" si="3"/>
        <v>0.56424581005586594</v>
      </c>
      <c r="Q22" s="201">
        <f>IFERROR(VLOOKUP($B22,MMWR_TRAD_AGG_RO_COMP[],Q$1,0),"ERROR")</f>
        <v>0</v>
      </c>
      <c r="R22" s="201">
        <f>IFERROR(VLOOKUP($B22,MMWR_TRAD_AGG_RO_COMP[],R$1,0),"ERROR")</f>
        <v>2</v>
      </c>
      <c r="S22" s="201">
        <f>IFERROR(VLOOKUP($B22,MMWR_APP_RO[],S$1,0),"ERROR")</f>
        <v>168</v>
      </c>
      <c r="T22" s="25"/>
    </row>
    <row r="23" spans="1:20" x14ac:dyDescent="0.2">
      <c r="A23" s="107"/>
      <c r="B23" s="108" t="s">
        <v>82</v>
      </c>
      <c r="C23" s="209">
        <f>IFERROR(VLOOKUP($B23,MMWR_TRAD_AGG_RO_COMP[],C$1,0),"ERROR")</f>
        <v>508</v>
      </c>
      <c r="D23" s="198">
        <f>IFERROR(VLOOKUP($B23,MMWR_TRAD_AGG_RO_COMP[],D$1,0),"ERROR")</f>
        <v>413.67716535429997</v>
      </c>
      <c r="E23" s="195">
        <f>IFERROR(VLOOKUP($B23,MMWR_TRAD_AGG_RO_COMP[],E$1,0),"ERROR")</f>
        <v>827</v>
      </c>
      <c r="F23" s="191">
        <f>IFERROR(VLOOKUP($B23,MMWR_TRAD_AGG_RO_COMP[],F$1,0),"ERROR")</f>
        <v>163</v>
      </c>
      <c r="G23" s="216">
        <f t="shared" si="0"/>
        <v>0.19709794437726724</v>
      </c>
      <c r="H23" s="190">
        <f>IFERROR(VLOOKUP($B23,MMWR_TRAD_AGG_RO_COMP[],H$1,0),"ERROR")</f>
        <v>842</v>
      </c>
      <c r="I23" s="191">
        <f>IFERROR(VLOOKUP($B23,MMWR_TRAD_AGG_RO_COMP[],I$1,0),"ERROR")</f>
        <v>412</v>
      </c>
      <c r="J23" s="216">
        <f t="shared" si="1"/>
        <v>0.48931116389548696</v>
      </c>
      <c r="K23" s="204">
        <f>IFERROR(VLOOKUP($B23,MMWR_TRAD_AGG_RO_COMP[],K$1,0),"ERROR")</f>
        <v>48</v>
      </c>
      <c r="L23" s="205">
        <f>IFERROR(VLOOKUP($B23,MMWR_TRAD_AGG_RO_COMP[],L$1,0),"ERROR")</f>
        <v>46</v>
      </c>
      <c r="M23" s="216">
        <f t="shared" si="2"/>
        <v>0.95833333333333337</v>
      </c>
      <c r="N23" s="204">
        <f>IFERROR(VLOOKUP($B23,MMWR_TRAD_AGG_RO_COMP[],N$1,0),"ERROR")</f>
        <v>88</v>
      </c>
      <c r="O23" s="205">
        <f>IFERROR(VLOOKUP($B23,MMWR_TRAD_AGG_RO_COMP[],O$1,0),"ERROR")</f>
        <v>50</v>
      </c>
      <c r="P23" s="216">
        <f t="shared" si="3"/>
        <v>0.56818181818181823</v>
      </c>
      <c r="Q23" s="201">
        <f>IFERROR(VLOOKUP($B23,MMWR_TRAD_AGG_RO_COMP[],Q$1,0),"ERROR")</f>
        <v>0</v>
      </c>
      <c r="R23" s="201">
        <f>IFERROR(VLOOKUP($B23,MMWR_TRAD_AGG_RO_COMP[],R$1,0),"ERROR")</f>
        <v>0</v>
      </c>
      <c r="S23" s="201">
        <f>IFERROR(VLOOKUP($B23,MMWR_APP_RO[],S$1,0),"ERROR")</f>
        <v>154</v>
      </c>
      <c r="T23" s="25"/>
    </row>
    <row r="24" spans="1:20" x14ac:dyDescent="0.2">
      <c r="A24" s="92"/>
      <c r="B24" s="116" t="s">
        <v>83</v>
      </c>
      <c r="C24" s="210">
        <f>IFERROR(VLOOKUP($B24,MMWR_TRAD_AGG_RO_COMP[],C$1,0),"ERROR")</f>
        <v>15975</v>
      </c>
      <c r="D24" s="199">
        <f>IFERROR(VLOOKUP($B24,MMWR_TRAD_AGG_RO_COMP[],D$1,0),"ERROR")</f>
        <v>310.89965571210001</v>
      </c>
      <c r="E24" s="196">
        <f>IFERROR(VLOOKUP($B24,MMWR_TRAD_AGG_RO_COMP[],E$1,0),"ERROR")</f>
        <v>18111</v>
      </c>
      <c r="F24" s="193">
        <f>IFERROR(VLOOKUP($B24,MMWR_TRAD_AGG_RO_COMP[],F$1,0),"ERROR")</f>
        <v>4050</v>
      </c>
      <c r="G24" s="217">
        <f t="shared" si="0"/>
        <v>0.22362100380983932</v>
      </c>
      <c r="H24" s="192">
        <f>IFERROR(VLOOKUP($B24,MMWR_TRAD_AGG_RO_COMP[],H$1,0),"ERROR")</f>
        <v>28188</v>
      </c>
      <c r="I24" s="193">
        <f>IFERROR(VLOOKUP($B24,MMWR_TRAD_AGG_RO_COMP[],I$1,0),"ERROR")</f>
        <v>16676</v>
      </c>
      <c r="J24" s="217">
        <f t="shared" si="1"/>
        <v>0.59159926209734637</v>
      </c>
      <c r="K24" s="206">
        <f>IFERROR(VLOOKUP($B24,MMWR_TRAD_AGG_RO_COMP[],K$1,0),"ERROR")</f>
        <v>12437</v>
      </c>
      <c r="L24" s="207">
        <f>IFERROR(VLOOKUP($B24,MMWR_TRAD_AGG_RO_COMP[],L$1,0),"ERROR")</f>
        <v>9182</v>
      </c>
      <c r="M24" s="217">
        <f t="shared" si="2"/>
        <v>0.73828093591702182</v>
      </c>
      <c r="N24" s="206">
        <f>IFERROR(VLOOKUP($B24,MMWR_TRAD_AGG_RO_COMP[],N$1,0),"ERROR")</f>
        <v>4298</v>
      </c>
      <c r="O24" s="207">
        <f>IFERROR(VLOOKUP($B24,MMWR_TRAD_AGG_RO_COMP[],O$1,0),"ERROR")</f>
        <v>3163</v>
      </c>
      <c r="P24" s="217">
        <f t="shared" si="3"/>
        <v>0.73592368543508613</v>
      </c>
      <c r="Q24" s="202">
        <f>IFERROR(VLOOKUP($B24,MMWR_TRAD_AGG_RO_COMP[],Q$1,0),"ERROR")</f>
        <v>1</v>
      </c>
      <c r="R24" s="202">
        <f>IFERROR(VLOOKUP($B24,MMWR_TRAD_AGG_RO_COMP[],R$1,0),"ERROR")</f>
        <v>15</v>
      </c>
      <c r="S24" s="201">
        <f>IFERROR(VLOOKUP($B24,MMWR_APP_RO[],S$1,0),"ERROR")</f>
        <v>8527</v>
      </c>
      <c r="T24" s="25"/>
    </row>
    <row r="25" spans="1:20" x14ac:dyDescent="0.2">
      <c r="A25" s="107"/>
      <c r="B25" s="101" t="s">
        <v>389</v>
      </c>
      <c r="C25" s="212">
        <f>IFERROR(VLOOKUP($B25,MMWR_TRAD_AGG_DISTRICT_COMP[],C$1,0),"ERROR")</f>
        <v>32154</v>
      </c>
      <c r="D25" s="197">
        <f>IFERROR(VLOOKUP($B25,MMWR_TRAD_AGG_DISTRICT_COMP[],D$1,0),"ERROR")</f>
        <v>324.26251788270002</v>
      </c>
      <c r="E25" s="213">
        <f>IFERROR(VLOOKUP($B25,MMWR_TRAD_AGG_DISTRICT_COMP[],E$1,0),"ERROR")</f>
        <v>59931</v>
      </c>
      <c r="F25" s="218">
        <f>IFERROR(VLOOKUP($B25,MMWR_TRAD_AGG_DISTRICT_COMP[],F$1,0),"ERROR")</f>
        <v>11234</v>
      </c>
      <c r="G25" s="214">
        <f t="shared" si="0"/>
        <v>0.18744889956783634</v>
      </c>
      <c r="H25" s="218">
        <f>IFERROR(VLOOKUP($B25,MMWR_TRAD_AGG_DISTRICT_COMP[],H$1,0),"ERROR")</f>
        <v>73569</v>
      </c>
      <c r="I25" s="218">
        <f>IFERROR(VLOOKUP($B25,MMWR_TRAD_AGG_DISTRICT_COMP[],I$1,0),"ERROR")</f>
        <v>28825</v>
      </c>
      <c r="J25" s="214">
        <f t="shared" si="1"/>
        <v>0.39180905000747596</v>
      </c>
      <c r="K25" s="212">
        <f>IFERROR(VLOOKUP($B25,MMWR_TRAD_AGG_DISTRICT_COMP[],K$1,0),"ERROR")</f>
        <v>19302</v>
      </c>
      <c r="L25" s="212">
        <f>IFERROR(VLOOKUP($B25,MMWR_TRAD_AGG_DISTRICT_COMP[],L$1,0),"ERROR")</f>
        <v>14893</v>
      </c>
      <c r="M25" s="214">
        <f t="shared" si="2"/>
        <v>0.77157807481090046</v>
      </c>
      <c r="N25" s="212">
        <f>IFERROR(VLOOKUP($B25,MMWR_TRAD_AGG_DISTRICT_COMP[],N$1,0),"ERROR")</f>
        <v>12179</v>
      </c>
      <c r="O25" s="212">
        <f>IFERROR(VLOOKUP($B25,MMWR_TRAD_AGG_DISTRICT_COMP[],O$1,0),"ERROR")</f>
        <v>8344</v>
      </c>
      <c r="P25" s="214">
        <f t="shared" si="3"/>
        <v>0.68511372033828721</v>
      </c>
      <c r="Q25" s="212">
        <f>IFERROR(VLOOKUP($B25,MMWR_TRAD_AGG_DISTRICT_COMP[],Q$1,0),"ERROR")</f>
        <v>8891</v>
      </c>
      <c r="R25" s="215">
        <f>IFERROR(VLOOKUP($B25,MMWR_TRAD_AGG_DISTRICT_COMP[],R$1,0),"ERROR")</f>
        <v>1099</v>
      </c>
      <c r="S25" s="215">
        <f>IFERROR(VLOOKUP($B25,MMWR_APP_RO[],S$1,0),"ERROR")</f>
        <v>51150</v>
      </c>
      <c r="T25" s="25"/>
    </row>
    <row r="26" spans="1:20" x14ac:dyDescent="0.2">
      <c r="A26" s="107"/>
      <c r="B26" s="108" t="s">
        <v>37</v>
      </c>
      <c r="C26" s="209">
        <f>IFERROR(VLOOKUP($B26,MMWR_TRAD_AGG_RO_COMP[],C$1,0),"ERROR")</f>
        <v>4409</v>
      </c>
      <c r="D26" s="198">
        <f>IFERROR(VLOOKUP($B26,MMWR_TRAD_AGG_RO_COMP[],D$1,0),"ERROR")</f>
        <v>492.97799954639999</v>
      </c>
      <c r="E26" s="195">
        <f>IFERROR(VLOOKUP($B26,MMWR_TRAD_AGG_RO_COMP[],E$1,0),"ERROR")</f>
        <v>6510</v>
      </c>
      <c r="F26" s="191">
        <f>IFERROR(VLOOKUP($B26,MMWR_TRAD_AGG_RO_COMP[],F$1,0),"ERROR")</f>
        <v>1694</v>
      </c>
      <c r="G26" s="216">
        <f t="shared" si="0"/>
        <v>0.26021505376344084</v>
      </c>
      <c r="H26" s="190">
        <f>IFERROR(VLOOKUP($B26,MMWR_TRAD_AGG_RO_COMP[],H$1,0),"ERROR")</f>
        <v>7690</v>
      </c>
      <c r="I26" s="191">
        <f>IFERROR(VLOOKUP($B26,MMWR_TRAD_AGG_RO_COMP[],I$1,0),"ERROR")</f>
        <v>4460</v>
      </c>
      <c r="J26" s="216">
        <f t="shared" si="1"/>
        <v>0.57997399219765933</v>
      </c>
      <c r="K26" s="204">
        <f>IFERROR(VLOOKUP($B26,MMWR_TRAD_AGG_RO_COMP[],K$1,0),"ERROR")</f>
        <v>1743</v>
      </c>
      <c r="L26" s="205">
        <f>IFERROR(VLOOKUP($B26,MMWR_TRAD_AGG_RO_COMP[],L$1,0),"ERROR")</f>
        <v>1630</v>
      </c>
      <c r="M26" s="216">
        <f t="shared" si="2"/>
        <v>0.93516924842226046</v>
      </c>
      <c r="N26" s="204">
        <f>IFERROR(VLOOKUP($B26,MMWR_TRAD_AGG_RO_COMP[],N$1,0),"ERROR")</f>
        <v>1513</v>
      </c>
      <c r="O26" s="205">
        <f>IFERROR(VLOOKUP($B26,MMWR_TRAD_AGG_RO_COMP[],O$1,0),"ERROR")</f>
        <v>941</v>
      </c>
      <c r="P26" s="216">
        <f t="shared" si="3"/>
        <v>0.62194315928618638</v>
      </c>
      <c r="Q26" s="201">
        <f>IFERROR(VLOOKUP($B26,MMWR_TRAD_AGG_RO_COMP[],Q$1,0),"ERROR")</f>
        <v>0</v>
      </c>
      <c r="R26" s="201">
        <f>IFERROR(VLOOKUP($B26,MMWR_TRAD_AGG_RO_COMP[],R$1,0),"ERROR")</f>
        <v>218</v>
      </c>
      <c r="S26" s="201">
        <f>IFERROR(VLOOKUP($B26,MMWR_APP_RO[],S$1,0),"ERROR")</f>
        <v>8266</v>
      </c>
      <c r="T26" s="25"/>
    </row>
    <row r="27" spans="1:20" x14ac:dyDescent="0.2">
      <c r="A27" s="107"/>
      <c r="B27" s="108" t="s">
        <v>38</v>
      </c>
      <c r="C27" s="209">
        <f>IFERROR(VLOOKUP($B27,MMWR_TRAD_AGG_RO_COMP[],C$1,0),"ERROR")</f>
        <v>4151</v>
      </c>
      <c r="D27" s="198">
        <f>IFERROR(VLOOKUP($B27,MMWR_TRAD_AGG_RO_COMP[],D$1,0),"ERROR")</f>
        <v>392.64803661769997</v>
      </c>
      <c r="E27" s="195">
        <f>IFERROR(VLOOKUP($B27,MMWR_TRAD_AGG_RO_COMP[],E$1,0),"ERROR")</f>
        <v>7593</v>
      </c>
      <c r="F27" s="191">
        <f>IFERROR(VLOOKUP($B27,MMWR_TRAD_AGG_RO_COMP[],F$1,0),"ERROR")</f>
        <v>1387</v>
      </c>
      <c r="G27" s="216">
        <f t="shared" si="0"/>
        <v>0.18266824706966944</v>
      </c>
      <c r="H27" s="190">
        <f>IFERROR(VLOOKUP($B27,MMWR_TRAD_AGG_RO_COMP[],H$1,0),"ERROR")</f>
        <v>7956</v>
      </c>
      <c r="I27" s="191">
        <f>IFERROR(VLOOKUP($B27,MMWR_TRAD_AGG_RO_COMP[],I$1,0),"ERROR")</f>
        <v>3274</v>
      </c>
      <c r="J27" s="216">
        <f t="shared" si="1"/>
        <v>0.41151332327802914</v>
      </c>
      <c r="K27" s="204">
        <f>IFERROR(VLOOKUP($B27,MMWR_TRAD_AGG_RO_COMP[],K$1,0),"ERROR")</f>
        <v>1926</v>
      </c>
      <c r="L27" s="205">
        <f>IFERROR(VLOOKUP($B27,MMWR_TRAD_AGG_RO_COMP[],L$1,0),"ERROR")</f>
        <v>1734</v>
      </c>
      <c r="M27" s="216">
        <f t="shared" si="2"/>
        <v>0.90031152647975077</v>
      </c>
      <c r="N27" s="204">
        <f>IFERROR(VLOOKUP($B27,MMWR_TRAD_AGG_RO_COMP[],N$1,0),"ERROR")</f>
        <v>2923</v>
      </c>
      <c r="O27" s="205">
        <f>IFERROR(VLOOKUP($B27,MMWR_TRAD_AGG_RO_COMP[],O$1,0),"ERROR")</f>
        <v>2268</v>
      </c>
      <c r="P27" s="216">
        <f t="shared" si="3"/>
        <v>0.7759151556619911</v>
      </c>
      <c r="Q27" s="201">
        <f>IFERROR(VLOOKUP($B27,MMWR_TRAD_AGG_RO_COMP[],Q$1,0),"ERROR")</f>
        <v>1</v>
      </c>
      <c r="R27" s="201">
        <f>IFERROR(VLOOKUP($B27,MMWR_TRAD_AGG_RO_COMP[],R$1,0),"ERROR")</f>
        <v>333</v>
      </c>
      <c r="S27" s="201">
        <f>IFERROR(VLOOKUP($B27,MMWR_APP_RO[],S$1,0),"ERROR")</f>
        <v>12515</v>
      </c>
      <c r="T27" s="25"/>
    </row>
    <row r="28" spans="1:20" x14ac:dyDescent="0.2">
      <c r="A28" s="107"/>
      <c r="B28" s="108" t="s">
        <v>41</v>
      </c>
      <c r="C28" s="209">
        <f>IFERROR(VLOOKUP($B28,MMWR_TRAD_AGG_RO_COMP[],C$1,0),"ERROR")</f>
        <v>563</v>
      </c>
      <c r="D28" s="198">
        <f>IFERROR(VLOOKUP($B28,MMWR_TRAD_AGG_RO_COMP[],D$1,0),"ERROR")</f>
        <v>124.6625222025</v>
      </c>
      <c r="E28" s="195">
        <f>IFERROR(VLOOKUP($B28,MMWR_TRAD_AGG_RO_COMP[],E$1,0),"ERROR")</f>
        <v>2417</v>
      </c>
      <c r="F28" s="191">
        <f>IFERROR(VLOOKUP($B28,MMWR_TRAD_AGG_RO_COMP[],F$1,0),"ERROR")</f>
        <v>339</v>
      </c>
      <c r="G28" s="216">
        <f t="shared" si="0"/>
        <v>0.14025651634257344</v>
      </c>
      <c r="H28" s="190">
        <f>IFERROR(VLOOKUP($B28,MMWR_TRAD_AGG_RO_COMP[],H$1,0),"ERROR")</f>
        <v>2015</v>
      </c>
      <c r="I28" s="191">
        <f>IFERROR(VLOOKUP($B28,MMWR_TRAD_AGG_RO_COMP[],I$1,0),"ERROR")</f>
        <v>257</v>
      </c>
      <c r="J28" s="216">
        <f t="shared" si="1"/>
        <v>0.12754342431761787</v>
      </c>
      <c r="K28" s="204">
        <f>IFERROR(VLOOKUP($B28,MMWR_TRAD_AGG_RO_COMP[],K$1,0),"ERROR")</f>
        <v>151</v>
      </c>
      <c r="L28" s="205">
        <f>IFERROR(VLOOKUP($B28,MMWR_TRAD_AGG_RO_COMP[],L$1,0),"ERROR")</f>
        <v>86</v>
      </c>
      <c r="M28" s="216">
        <f t="shared" si="2"/>
        <v>0.56953642384105962</v>
      </c>
      <c r="N28" s="204">
        <f>IFERROR(VLOOKUP($B28,MMWR_TRAD_AGG_RO_COMP[],N$1,0),"ERROR")</f>
        <v>211</v>
      </c>
      <c r="O28" s="205">
        <f>IFERROR(VLOOKUP($B28,MMWR_TRAD_AGG_RO_COMP[],O$1,0),"ERROR")</f>
        <v>95</v>
      </c>
      <c r="P28" s="216">
        <f t="shared" si="3"/>
        <v>0.45023696682464454</v>
      </c>
      <c r="Q28" s="201">
        <f>IFERROR(VLOOKUP($B28,MMWR_TRAD_AGG_RO_COMP[],Q$1,0),"ERROR")</f>
        <v>0</v>
      </c>
      <c r="R28" s="201">
        <f>IFERROR(VLOOKUP($B28,MMWR_TRAD_AGG_RO_COMP[],R$1,0),"ERROR")</f>
        <v>9</v>
      </c>
      <c r="S28" s="201">
        <f>IFERROR(VLOOKUP($B28,MMWR_APP_RO[],S$1,0),"ERROR")</f>
        <v>1478</v>
      </c>
      <c r="T28" s="25"/>
    </row>
    <row r="29" spans="1:20" x14ac:dyDescent="0.2">
      <c r="A29" s="107"/>
      <c r="B29" s="108" t="s">
        <v>42</v>
      </c>
      <c r="C29" s="209">
        <f>IFERROR(VLOOKUP($B29,MMWR_TRAD_AGG_RO_COMP[],C$1,0),"ERROR")</f>
        <v>2542</v>
      </c>
      <c r="D29" s="198">
        <f>IFERROR(VLOOKUP($B29,MMWR_TRAD_AGG_RO_COMP[],D$1,0),"ERROR")</f>
        <v>391.96616837139999</v>
      </c>
      <c r="E29" s="195">
        <f>IFERROR(VLOOKUP($B29,MMWR_TRAD_AGG_RO_COMP[],E$1,0),"ERROR")</f>
        <v>7458</v>
      </c>
      <c r="F29" s="191">
        <f>IFERROR(VLOOKUP($B29,MMWR_TRAD_AGG_RO_COMP[],F$1,0),"ERROR")</f>
        <v>1738</v>
      </c>
      <c r="G29" s="216">
        <f t="shared" si="0"/>
        <v>0.23303834808259588</v>
      </c>
      <c r="H29" s="190">
        <f>IFERROR(VLOOKUP($B29,MMWR_TRAD_AGG_RO_COMP[],H$1,0),"ERROR")</f>
        <v>7923</v>
      </c>
      <c r="I29" s="191">
        <f>IFERROR(VLOOKUP($B29,MMWR_TRAD_AGG_RO_COMP[],I$1,0),"ERROR")</f>
        <v>3581</v>
      </c>
      <c r="J29" s="216">
        <f t="shared" si="1"/>
        <v>0.45197526189574655</v>
      </c>
      <c r="K29" s="204">
        <f>IFERROR(VLOOKUP($B29,MMWR_TRAD_AGG_RO_COMP[],K$1,0),"ERROR")</f>
        <v>2690</v>
      </c>
      <c r="L29" s="205">
        <f>IFERROR(VLOOKUP($B29,MMWR_TRAD_AGG_RO_COMP[],L$1,0),"ERROR")</f>
        <v>2421</v>
      </c>
      <c r="M29" s="216">
        <f t="shared" si="2"/>
        <v>0.9</v>
      </c>
      <c r="N29" s="204">
        <f>IFERROR(VLOOKUP($B29,MMWR_TRAD_AGG_RO_COMP[],N$1,0),"ERROR")</f>
        <v>1119</v>
      </c>
      <c r="O29" s="205">
        <f>IFERROR(VLOOKUP($B29,MMWR_TRAD_AGG_RO_COMP[],O$1,0),"ERROR")</f>
        <v>536</v>
      </c>
      <c r="P29" s="216">
        <f t="shared" si="3"/>
        <v>0.47899910634495085</v>
      </c>
      <c r="Q29" s="201">
        <f>IFERROR(VLOOKUP($B29,MMWR_TRAD_AGG_RO_COMP[],Q$1,0),"ERROR")</f>
        <v>1</v>
      </c>
      <c r="R29" s="201">
        <f>IFERROR(VLOOKUP($B29,MMWR_TRAD_AGG_RO_COMP[],R$1,0),"ERROR")</f>
        <v>225</v>
      </c>
      <c r="S29" s="201">
        <f>IFERROR(VLOOKUP($B29,MMWR_APP_RO[],S$1,0),"ERROR")</f>
        <v>4905</v>
      </c>
      <c r="T29" s="25"/>
    </row>
    <row r="30" spans="1:20" x14ac:dyDescent="0.2">
      <c r="A30" s="107"/>
      <c r="B30" s="108" t="s">
        <v>43</v>
      </c>
      <c r="C30" s="209">
        <f>IFERROR(VLOOKUP($B30,MMWR_TRAD_AGG_RO_COMP[],C$1,0),"ERROR")</f>
        <v>217</v>
      </c>
      <c r="D30" s="198">
        <f>IFERROR(VLOOKUP($B30,MMWR_TRAD_AGG_RO_COMP[],D$1,0),"ERROR")</f>
        <v>95.571428571400006</v>
      </c>
      <c r="E30" s="195">
        <f>IFERROR(VLOOKUP($B30,MMWR_TRAD_AGG_RO_COMP[],E$1,0),"ERROR")</f>
        <v>1050</v>
      </c>
      <c r="F30" s="191">
        <f>IFERROR(VLOOKUP($B30,MMWR_TRAD_AGG_RO_COMP[],F$1,0),"ERROR")</f>
        <v>134</v>
      </c>
      <c r="G30" s="216">
        <f t="shared" si="0"/>
        <v>0.12761904761904763</v>
      </c>
      <c r="H30" s="190">
        <f>IFERROR(VLOOKUP($B30,MMWR_TRAD_AGG_RO_COMP[],H$1,0),"ERROR")</f>
        <v>992</v>
      </c>
      <c r="I30" s="191">
        <f>IFERROR(VLOOKUP($B30,MMWR_TRAD_AGG_RO_COMP[],I$1,0),"ERROR")</f>
        <v>32</v>
      </c>
      <c r="J30" s="216">
        <f t="shared" si="1"/>
        <v>3.2258064516129031E-2</v>
      </c>
      <c r="K30" s="204">
        <f>IFERROR(VLOOKUP($B30,MMWR_TRAD_AGG_RO_COMP[],K$1,0),"ERROR")</f>
        <v>155</v>
      </c>
      <c r="L30" s="205">
        <f>IFERROR(VLOOKUP($B30,MMWR_TRAD_AGG_RO_COMP[],L$1,0),"ERROR")</f>
        <v>64</v>
      </c>
      <c r="M30" s="216">
        <f t="shared" si="2"/>
        <v>0.41290322580645161</v>
      </c>
      <c r="N30" s="204">
        <f>IFERROR(VLOOKUP($B30,MMWR_TRAD_AGG_RO_COMP[],N$1,0),"ERROR")</f>
        <v>69</v>
      </c>
      <c r="O30" s="205">
        <f>IFERROR(VLOOKUP($B30,MMWR_TRAD_AGG_RO_COMP[],O$1,0),"ERROR")</f>
        <v>43</v>
      </c>
      <c r="P30" s="216">
        <f t="shared" si="3"/>
        <v>0.62318840579710144</v>
      </c>
      <c r="Q30" s="201">
        <f>IFERROR(VLOOKUP($B30,MMWR_TRAD_AGG_RO_COMP[],Q$1,0),"ERROR")</f>
        <v>0</v>
      </c>
      <c r="R30" s="201">
        <f>IFERROR(VLOOKUP($B30,MMWR_TRAD_AGG_RO_COMP[],R$1,0),"ERROR")</f>
        <v>0</v>
      </c>
      <c r="S30" s="201">
        <f>IFERROR(VLOOKUP($B30,MMWR_APP_RO[],S$1,0),"ERROR")</f>
        <v>573</v>
      </c>
      <c r="T30" s="25"/>
    </row>
    <row r="31" spans="1:20" x14ac:dyDescent="0.2">
      <c r="A31" s="107"/>
      <c r="B31" s="108" t="s">
        <v>48</v>
      </c>
      <c r="C31" s="209">
        <f>IFERROR(VLOOKUP($B31,MMWR_TRAD_AGG_RO_COMP[],C$1,0),"ERROR")</f>
        <v>5404</v>
      </c>
      <c r="D31" s="198">
        <f>IFERROR(VLOOKUP($B31,MMWR_TRAD_AGG_RO_COMP[],D$1,0),"ERROR")</f>
        <v>538.03349370839999</v>
      </c>
      <c r="E31" s="195">
        <f>IFERROR(VLOOKUP($B31,MMWR_TRAD_AGG_RO_COMP[],E$1,0),"ERROR")</f>
        <v>4649</v>
      </c>
      <c r="F31" s="191">
        <f>IFERROR(VLOOKUP($B31,MMWR_TRAD_AGG_RO_COMP[],F$1,0),"ERROR")</f>
        <v>835</v>
      </c>
      <c r="G31" s="216">
        <f t="shared" si="0"/>
        <v>0.17960851796085178</v>
      </c>
      <c r="H31" s="190">
        <f>IFERROR(VLOOKUP($B31,MMWR_TRAD_AGG_RO_COMP[],H$1,0),"ERROR")</f>
        <v>10888</v>
      </c>
      <c r="I31" s="191">
        <f>IFERROR(VLOOKUP($B31,MMWR_TRAD_AGG_RO_COMP[],I$1,0),"ERROR")</f>
        <v>6772</v>
      </c>
      <c r="J31" s="216">
        <f t="shared" si="1"/>
        <v>0.62196914033798678</v>
      </c>
      <c r="K31" s="204">
        <f>IFERROR(VLOOKUP($B31,MMWR_TRAD_AGG_RO_COMP[],K$1,0),"ERROR")</f>
        <v>2206</v>
      </c>
      <c r="L31" s="205">
        <f>IFERROR(VLOOKUP($B31,MMWR_TRAD_AGG_RO_COMP[],L$1,0),"ERROR")</f>
        <v>1618</v>
      </c>
      <c r="M31" s="216">
        <f t="shared" si="2"/>
        <v>0.73345421577515868</v>
      </c>
      <c r="N31" s="204">
        <f>IFERROR(VLOOKUP($B31,MMWR_TRAD_AGG_RO_COMP[],N$1,0),"ERROR")</f>
        <v>2485</v>
      </c>
      <c r="O31" s="205">
        <f>IFERROR(VLOOKUP($B31,MMWR_TRAD_AGG_RO_COMP[],O$1,0),"ERROR")</f>
        <v>1875</v>
      </c>
      <c r="P31" s="216">
        <f t="shared" si="3"/>
        <v>0.75452716297786715</v>
      </c>
      <c r="Q31" s="201">
        <f>IFERROR(VLOOKUP($B31,MMWR_TRAD_AGG_RO_COMP[],Q$1,0),"ERROR")</f>
        <v>1</v>
      </c>
      <c r="R31" s="201">
        <f>IFERROR(VLOOKUP($B31,MMWR_TRAD_AGG_RO_COMP[],R$1,0),"ERROR")</f>
        <v>237</v>
      </c>
      <c r="S31" s="201">
        <f>IFERROR(VLOOKUP($B31,MMWR_APP_RO[],S$1,0),"ERROR")</f>
        <v>8049</v>
      </c>
      <c r="T31" s="25"/>
    </row>
    <row r="32" spans="1:20" x14ac:dyDescent="0.2">
      <c r="A32" s="107"/>
      <c r="B32" s="108" t="s">
        <v>50</v>
      </c>
      <c r="C32" s="209">
        <f>IFERROR(VLOOKUP($B32,MMWR_TRAD_AGG_RO_COMP[],C$1,0),"ERROR")</f>
        <v>1513</v>
      </c>
      <c r="D32" s="198">
        <f>IFERROR(VLOOKUP($B32,MMWR_TRAD_AGG_RO_COMP[],D$1,0),"ERROR")</f>
        <v>125.1295439524</v>
      </c>
      <c r="E32" s="195">
        <f>IFERROR(VLOOKUP($B32,MMWR_TRAD_AGG_RO_COMP[],E$1,0),"ERROR")</f>
        <v>1863</v>
      </c>
      <c r="F32" s="191">
        <f>IFERROR(VLOOKUP($B32,MMWR_TRAD_AGG_RO_COMP[],F$1,0),"ERROR")</f>
        <v>219</v>
      </c>
      <c r="G32" s="216">
        <f t="shared" si="0"/>
        <v>0.11755233494363929</v>
      </c>
      <c r="H32" s="190">
        <f>IFERROR(VLOOKUP($B32,MMWR_TRAD_AGG_RO_COMP[],H$1,0),"ERROR")</f>
        <v>3276</v>
      </c>
      <c r="I32" s="191">
        <f>IFERROR(VLOOKUP($B32,MMWR_TRAD_AGG_RO_COMP[],I$1,0),"ERROR")</f>
        <v>846</v>
      </c>
      <c r="J32" s="216">
        <f t="shared" si="1"/>
        <v>0.25824175824175827</v>
      </c>
      <c r="K32" s="204">
        <f>IFERROR(VLOOKUP($B32,MMWR_TRAD_AGG_RO_COMP[],K$1,0),"ERROR")</f>
        <v>720</v>
      </c>
      <c r="L32" s="205">
        <f>IFERROR(VLOOKUP($B32,MMWR_TRAD_AGG_RO_COMP[],L$1,0),"ERROR")</f>
        <v>458</v>
      </c>
      <c r="M32" s="216">
        <f t="shared" si="2"/>
        <v>0.63611111111111107</v>
      </c>
      <c r="N32" s="204">
        <f>IFERROR(VLOOKUP($B32,MMWR_TRAD_AGG_RO_COMP[],N$1,0),"ERROR")</f>
        <v>567</v>
      </c>
      <c r="O32" s="205">
        <f>IFERROR(VLOOKUP($B32,MMWR_TRAD_AGG_RO_COMP[],O$1,0),"ERROR")</f>
        <v>381</v>
      </c>
      <c r="P32" s="216">
        <f t="shared" si="3"/>
        <v>0.67195767195767198</v>
      </c>
      <c r="Q32" s="201">
        <f>IFERROR(VLOOKUP($B32,MMWR_TRAD_AGG_RO_COMP[],Q$1,0),"ERROR")</f>
        <v>1</v>
      </c>
      <c r="R32" s="201">
        <f>IFERROR(VLOOKUP($B32,MMWR_TRAD_AGG_RO_COMP[],R$1,0),"ERROR")</f>
        <v>17</v>
      </c>
      <c r="S32" s="201">
        <f>IFERROR(VLOOKUP($B32,MMWR_APP_RO[],S$1,0),"ERROR")</f>
        <v>1242</v>
      </c>
      <c r="T32" s="25"/>
    </row>
    <row r="33" spans="1:20" x14ac:dyDescent="0.2">
      <c r="A33" s="107"/>
      <c r="B33" s="108" t="s">
        <v>56</v>
      </c>
      <c r="C33" s="209">
        <f>IFERROR(VLOOKUP($B33,MMWR_TRAD_AGG_RO_COMP[],C$1,0),"ERROR")</f>
        <v>4686</v>
      </c>
      <c r="D33" s="198">
        <f>IFERROR(VLOOKUP($B33,MMWR_TRAD_AGG_RO_COMP[],D$1,0),"ERROR")</f>
        <v>163.93640631669999</v>
      </c>
      <c r="E33" s="195">
        <f>IFERROR(VLOOKUP($B33,MMWR_TRAD_AGG_RO_COMP[],E$1,0),"ERROR")</f>
        <v>6826</v>
      </c>
      <c r="F33" s="191">
        <f>IFERROR(VLOOKUP($B33,MMWR_TRAD_AGG_RO_COMP[],F$1,0),"ERROR")</f>
        <v>1153</v>
      </c>
      <c r="G33" s="216">
        <f t="shared" si="0"/>
        <v>0.16891297978318195</v>
      </c>
      <c r="H33" s="190">
        <f>IFERROR(VLOOKUP($B33,MMWR_TRAD_AGG_RO_COMP[],H$1,0),"ERROR")</f>
        <v>8445</v>
      </c>
      <c r="I33" s="191">
        <f>IFERROR(VLOOKUP($B33,MMWR_TRAD_AGG_RO_COMP[],I$1,0),"ERROR")</f>
        <v>2293</v>
      </c>
      <c r="J33" s="216">
        <f t="shared" si="1"/>
        <v>0.2715216104203671</v>
      </c>
      <c r="K33" s="204">
        <f>IFERROR(VLOOKUP($B33,MMWR_TRAD_AGG_RO_COMP[],K$1,0),"ERROR")</f>
        <v>947</v>
      </c>
      <c r="L33" s="205">
        <f>IFERROR(VLOOKUP($B33,MMWR_TRAD_AGG_RO_COMP[],L$1,0),"ERROR")</f>
        <v>627</v>
      </c>
      <c r="M33" s="216">
        <f t="shared" si="2"/>
        <v>0.66209081309398099</v>
      </c>
      <c r="N33" s="204">
        <f>IFERROR(VLOOKUP($B33,MMWR_TRAD_AGG_RO_COMP[],N$1,0),"ERROR")</f>
        <v>641</v>
      </c>
      <c r="O33" s="205">
        <f>IFERROR(VLOOKUP($B33,MMWR_TRAD_AGG_RO_COMP[],O$1,0),"ERROR")</f>
        <v>374</v>
      </c>
      <c r="P33" s="216">
        <f t="shared" si="3"/>
        <v>0.58346333853354138</v>
      </c>
      <c r="Q33" s="201">
        <f>IFERROR(VLOOKUP($B33,MMWR_TRAD_AGG_RO_COMP[],Q$1,0),"ERROR")</f>
        <v>8853</v>
      </c>
      <c r="R33" s="201">
        <f>IFERROR(VLOOKUP($B33,MMWR_TRAD_AGG_RO_COMP[],R$1,0),"ERROR")</f>
        <v>0</v>
      </c>
      <c r="S33" s="201">
        <f>IFERROR(VLOOKUP($B33,MMWR_APP_RO[],S$1,0),"ERROR")</f>
        <v>3111</v>
      </c>
      <c r="T33" s="25"/>
    </row>
    <row r="34" spans="1:20" x14ac:dyDescent="0.2">
      <c r="A34" s="107"/>
      <c r="B34" s="108" t="s">
        <v>74</v>
      </c>
      <c r="C34" s="209">
        <f>IFERROR(VLOOKUP($B34,MMWR_TRAD_AGG_RO_COMP[],C$1,0),"ERROR")</f>
        <v>306</v>
      </c>
      <c r="D34" s="198">
        <f>IFERROR(VLOOKUP($B34,MMWR_TRAD_AGG_RO_COMP[],D$1,0),"ERROR")</f>
        <v>86.885620915000004</v>
      </c>
      <c r="E34" s="195">
        <f>IFERROR(VLOOKUP($B34,MMWR_TRAD_AGG_RO_COMP[],E$1,0),"ERROR")</f>
        <v>1318</v>
      </c>
      <c r="F34" s="191">
        <f>IFERROR(VLOOKUP($B34,MMWR_TRAD_AGG_RO_COMP[],F$1,0),"ERROR")</f>
        <v>240</v>
      </c>
      <c r="G34" s="216">
        <f t="shared" si="0"/>
        <v>0.18209408194233687</v>
      </c>
      <c r="H34" s="190">
        <f>IFERROR(VLOOKUP($B34,MMWR_TRAD_AGG_RO_COMP[],H$1,0),"ERROR")</f>
        <v>1119</v>
      </c>
      <c r="I34" s="191">
        <f>IFERROR(VLOOKUP($B34,MMWR_TRAD_AGG_RO_COMP[],I$1,0),"ERROR")</f>
        <v>61</v>
      </c>
      <c r="J34" s="216">
        <f t="shared" si="1"/>
        <v>5.4512957998212687E-2</v>
      </c>
      <c r="K34" s="204">
        <f>IFERROR(VLOOKUP($B34,MMWR_TRAD_AGG_RO_COMP[],K$1,0),"ERROR")</f>
        <v>376</v>
      </c>
      <c r="L34" s="205">
        <f>IFERROR(VLOOKUP($B34,MMWR_TRAD_AGG_RO_COMP[],L$1,0),"ERROR")</f>
        <v>106</v>
      </c>
      <c r="M34" s="216">
        <f t="shared" si="2"/>
        <v>0.28191489361702127</v>
      </c>
      <c r="N34" s="204">
        <f>IFERROR(VLOOKUP($B34,MMWR_TRAD_AGG_RO_COMP[],N$1,0),"ERROR")</f>
        <v>33</v>
      </c>
      <c r="O34" s="205">
        <f>IFERROR(VLOOKUP($B34,MMWR_TRAD_AGG_RO_COMP[],O$1,0),"ERROR")</f>
        <v>15</v>
      </c>
      <c r="P34" s="216">
        <f t="shared" si="3"/>
        <v>0.45454545454545453</v>
      </c>
      <c r="Q34" s="201">
        <f>IFERROR(VLOOKUP($B34,MMWR_TRAD_AGG_RO_COMP[],Q$1,0),"ERROR")</f>
        <v>0</v>
      </c>
      <c r="R34" s="201">
        <f>IFERROR(VLOOKUP($B34,MMWR_TRAD_AGG_RO_COMP[],R$1,0),"ERROR")</f>
        <v>0</v>
      </c>
      <c r="S34" s="201">
        <f>IFERROR(VLOOKUP($B34,MMWR_APP_RO[],S$1,0),"ERROR")</f>
        <v>231</v>
      </c>
      <c r="T34" s="25"/>
    </row>
    <row r="35" spans="1:20" x14ac:dyDescent="0.2">
      <c r="A35" s="107"/>
      <c r="B35" s="108" t="s">
        <v>75</v>
      </c>
      <c r="C35" s="209">
        <f>IFERROR(VLOOKUP($B35,MMWR_TRAD_AGG_RO_COMP[],C$1,0),"ERROR")</f>
        <v>3272</v>
      </c>
      <c r="D35" s="198">
        <f>IFERROR(VLOOKUP($B35,MMWR_TRAD_AGG_RO_COMP[],D$1,0),"ERROR")</f>
        <v>226.07793398530001</v>
      </c>
      <c r="E35" s="195">
        <f>IFERROR(VLOOKUP($B35,MMWR_TRAD_AGG_RO_COMP[],E$1,0),"ERROR")</f>
        <v>6373</v>
      </c>
      <c r="F35" s="191">
        <f>IFERROR(VLOOKUP($B35,MMWR_TRAD_AGG_RO_COMP[],F$1,0),"ERROR")</f>
        <v>1231</v>
      </c>
      <c r="G35" s="216">
        <f t="shared" si="0"/>
        <v>0.1931586380040797</v>
      </c>
      <c r="H35" s="190">
        <f>IFERROR(VLOOKUP($B35,MMWR_TRAD_AGG_RO_COMP[],H$1,0),"ERROR")</f>
        <v>6845</v>
      </c>
      <c r="I35" s="191">
        <f>IFERROR(VLOOKUP($B35,MMWR_TRAD_AGG_RO_COMP[],I$1,0),"ERROR")</f>
        <v>2831</v>
      </c>
      <c r="J35" s="216">
        <f t="shared" si="1"/>
        <v>0.4135865595325055</v>
      </c>
      <c r="K35" s="204">
        <f>IFERROR(VLOOKUP($B35,MMWR_TRAD_AGG_RO_COMP[],K$1,0),"ERROR")</f>
        <v>2080</v>
      </c>
      <c r="L35" s="205">
        <f>IFERROR(VLOOKUP($B35,MMWR_TRAD_AGG_RO_COMP[],L$1,0),"ERROR")</f>
        <v>1767</v>
      </c>
      <c r="M35" s="216">
        <f t="shared" si="2"/>
        <v>0.84951923076923075</v>
      </c>
      <c r="N35" s="204">
        <f>IFERROR(VLOOKUP($B35,MMWR_TRAD_AGG_RO_COMP[],N$1,0),"ERROR")</f>
        <v>1240</v>
      </c>
      <c r="O35" s="205">
        <f>IFERROR(VLOOKUP($B35,MMWR_TRAD_AGG_RO_COMP[],O$1,0),"ERROR")</f>
        <v>1017</v>
      </c>
      <c r="P35" s="216">
        <f t="shared" si="3"/>
        <v>0.82016129032258067</v>
      </c>
      <c r="Q35" s="201">
        <f>IFERROR(VLOOKUP($B35,MMWR_TRAD_AGG_RO_COMP[],Q$1,0),"ERROR")</f>
        <v>0</v>
      </c>
      <c r="R35" s="201">
        <f>IFERROR(VLOOKUP($B35,MMWR_TRAD_AGG_RO_COMP[],R$1,0),"ERROR")</f>
        <v>52</v>
      </c>
      <c r="S35" s="201">
        <f>IFERROR(VLOOKUP($B35,MMWR_APP_RO[],S$1,0),"ERROR")</f>
        <v>5806</v>
      </c>
      <c r="T35" s="25"/>
    </row>
    <row r="36" spans="1:20" x14ac:dyDescent="0.2">
      <c r="A36" s="28"/>
      <c r="B36" s="108" t="s">
        <v>76</v>
      </c>
      <c r="C36" s="219">
        <f>IFERROR(VLOOKUP($B36,MMWR_TRAD_AGG_RO_COMP[],C$1,0),"ERROR")</f>
        <v>3504</v>
      </c>
      <c r="D36" s="220">
        <f>IFERROR(VLOOKUP($B36,MMWR_TRAD_AGG_RO_COMP[],D$1,0),"ERROR")</f>
        <v>163.6792237443</v>
      </c>
      <c r="E36" s="221">
        <f>IFERROR(VLOOKUP($B36,MMWR_TRAD_AGG_RO_COMP[],E$1,0),"ERROR")</f>
        <v>11326</v>
      </c>
      <c r="F36" s="222">
        <f>IFERROR(VLOOKUP($B36,MMWR_TRAD_AGG_RO_COMP[],F$1,0),"ERROR")</f>
        <v>1857</v>
      </c>
      <c r="G36" s="223">
        <f t="shared" si="0"/>
        <v>0.16395903231502737</v>
      </c>
      <c r="H36" s="224">
        <f>IFERROR(VLOOKUP($B36,MMWR_TRAD_AGG_RO_COMP[],H$1,0),"ERROR")</f>
        <v>13277</v>
      </c>
      <c r="I36" s="222">
        <f>IFERROR(VLOOKUP($B36,MMWR_TRAD_AGG_RO_COMP[],I$1,0),"ERROR")</f>
        <v>3314</v>
      </c>
      <c r="J36" s="223">
        <f t="shared" si="1"/>
        <v>0.24960457934774422</v>
      </c>
      <c r="K36" s="225">
        <f>IFERROR(VLOOKUP($B36,MMWR_TRAD_AGG_RO_COMP[],K$1,0),"ERROR")</f>
        <v>5296</v>
      </c>
      <c r="L36" s="226">
        <f>IFERROR(VLOOKUP($B36,MMWR_TRAD_AGG_RO_COMP[],L$1,0),"ERROR")</f>
        <v>3892</v>
      </c>
      <c r="M36" s="223">
        <f t="shared" si="2"/>
        <v>0.73489425981873113</v>
      </c>
      <c r="N36" s="225">
        <f>IFERROR(VLOOKUP($B36,MMWR_TRAD_AGG_RO_COMP[],N$1,0),"ERROR")</f>
        <v>1147</v>
      </c>
      <c r="O36" s="226">
        <f>IFERROR(VLOOKUP($B36,MMWR_TRAD_AGG_RO_COMP[],O$1,0),"ERROR")</f>
        <v>672</v>
      </c>
      <c r="P36" s="223">
        <f t="shared" si="3"/>
        <v>0.58587619877942454</v>
      </c>
      <c r="Q36" s="227">
        <f>IFERROR(VLOOKUP($B36,MMWR_TRAD_AGG_RO_COMP[],Q$1,0),"ERROR")</f>
        <v>34</v>
      </c>
      <c r="R36" s="227">
        <f>IFERROR(VLOOKUP($B36,MMWR_TRAD_AGG_RO_COMP[],R$1,0),"ERROR")</f>
        <v>0</v>
      </c>
      <c r="S36" s="201">
        <f>IFERROR(VLOOKUP($B36,MMWR_APP_RO[],S$1,0),"ERROR")</f>
        <v>3647</v>
      </c>
      <c r="T36" s="28"/>
    </row>
    <row r="37" spans="1:20" x14ac:dyDescent="0.2">
      <c r="A37" s="28"/>
      <c r="B37" s="116" t="s">
        <v>81</v>
      </c>
      <c r="C37" s="228">
        <f>IFERROR(VLOOKUP($B37,MMWR_TRAD_AGG_RO_COMP[],C$1,0),"ERROR")</f>
        <v>1587</v>
      </c>
      <c r="D37" s="229">
        <f>IFERROR(VLOOKUP($B37,MMWR_TRAD_AGG_RO_COMP[],D$1,0),"ERROR")</f>
        <v>208.3850031506</v>
      </c>
      <c r="E37" s="230">
        <f>IFERROR(VLOOKUP($B37,MMWR_TRAD_AGG_RO_COMP[],E$1,0),"ERROR")</f>
        <v>2548</v>
      </c>
      <c r="F37" s="231">
        <f>IFERROR(VLOOKUP($B37,MMWR_TRAD_AGG_RO_COMP[],F$1,0),"ERROR")</f>
        <v>407</v>
      </c>
      <c r="G37" s="232">
        <f t="shared" si="0"/>
        <v>0.1597331240188383</v>
      </c>
      <c r="H37" s="233">
        <f>IFERROR(VLOOKUP($B37,MMWR_TRAD_AGG_RO_COMP[],H$1,0),"ERROR")</f>
        <v>3143</v>
      </c>
      <c r="I37" s="231">
        <f>IFERROR(VLOOKUP($B37,MMWR_TRAD_AGG_RO_COMP[],I$1,0),"ERROR")</f>
        <v>1104</v>
      </c>
      <c r="J37" s="232">
        <f t="shared" si="1"/>
        <v>0.35125676105631565</v>
      </c>
      <c r="K37" s="234">
        <f>IFERROR(VLOOKUP($B37,MMWR_TRAD_AGG_RO_COMP[],K$1,0),"ERROR")</f>
        <v>1012</v>
      </c>
      <c r="L37" s="235">
        <f>IFERROR(VLOOKUP($B37,MMWR_TRAD_AGG_RO_COMP[],L$1,0),"ERROR")</f>
        <v>490</v>
      </c>
      <c r="M37" s="232">
        <f t="shared" si="2"/>
        <v>0.48418972332015808</v>
      </c>
      <c r="N37" s="234">
        <f>IFERROR(VLOOKUP($B37,MMWR_TRAD_AGG_RO_COMP[],N$1,0),"ERROR")</f>
        <v>231</v>
      </c>
      <c r="O37" s="235">
        <f>IFERROR(VLOOKUP($B37,MMWR_TRAD_AGG_RO_COMP[],O$1,0),"ERROR")</f>
        <v>127</v>
      </c>
      <c r="P37" s="232">
        <f t="shared" si="3"/>
        <v>0.54978354978354982</v>
      </c>
      <c r="Q37" s="236">
        <f>IFERROR(VLOOKUP($B37,MMWR_TRAD_AGG_RO_COMP[],Q$1,0),"ERROR")</f>
        <v>0</v>
      </c>
      <c r="R37" s="236">
        <f>IFERROR(VLOOKUP($B37,MMWR_TRAD_AGG_RO_COMP[],R$1,0),"ERROR")</f>
        <v>8</v>
      </c>
      <c r="S37" s="201">
        <f>IFERROR(VLOOKUP($B37,MMWR_APP_RO[],S$1,0),"ERROR")</f>
        <v>1327</v>
      </c>
      <c r="T37" s="28"/>
    </row>
    <row r="38" spans="1:20" x14ac:dyDescent="0.2">
      <c r="A38" s="28"/>
      <c r="B38" s="101" t="s">
        <v>384</v>
      </c>
      <c r="C38" s="212">
        <f>IFERROR(VLOOKUP($B38,MMWR_TRAD_AGG_DISTRICT_COMP[],C$1,0),"ERROR")</f>
        <v>38671</v>
      </c>
      <c r="D38" s="197">
        <f>IFERROR(VLOOKUP($B38,MMWR_TRAD_AGG_DISTRICT_COMP[],D$1,0),"ERROR")</f>
        <v>335.84207804300001</v>
      </c>
      <c r="E38" s="213">
        <f>IFERROR(VLOOKUP($B38,MMWR_TRAD_AGG_DISTRICT_COMP[],E$1,0),"ERROR")</f>
        <v>64699</v>
      </c>
      <c r="F38" s="218">
        <f>IFERROR(VLOOKUP($B38,MMWR_TRAD_AGG_DISTRICT_COMP[],F$1,0),"ERROR")</f>
        <v>12967</v>
      </c>
      <c r="G38" s="214">
        <f t="shared" si="0"/>
        <v>0.20042040835252478</v>
      </c>
      <c r="H38" s="218">
        <f>IFERROR(VLOOKUP($B38,MMWR_TRAD_AGG_DISTRICT_COMP[],H$1,0),"ERROR")</f>
        <v>78614</v>
      </c>
      <c r="I38" s="218">
        <f>IFERROR(VLOOKUP($B38,MMWR_TRAD_AGG_DISTRICT_COMP[],I$1,0),"ERROR")</f>
        <v>35051</v>
      </c>
      <c r="J38" s="214">
        <f t="shared" si="1"/>
        <v>0.44586206019284097</v>
      </c>
      <c r="K38" s="212">
        <f>IFERROR(VLOOKUP($B38,MMWR_TRAD_AGG_DISTRICT_COMP[],K$1,0),"ERROR")</f>
        <v>21364</v>
      </c>
      <c r="L38" s="212">
        <f>IFERROR(VLOOKUP($B38,MMWR_TRAD_AGG_DISTRICT_COMP[],L$1,0),"ERROR")</f>
        <v>15196</v>
      </c>
      <c r="M38" s="214">
        <f t="shared" si="2"/>
        <v>0.71129002059539415</v>
      </c>
      <c r="N38" s="212">
        <f>IFERROR(VLOOKUP($B38,MMWR_TRAD_AGG_DISTRICT_COMP[],N$1,0),"ERROR")</f>
        <v>19259</v>
      </c>
      <c r="O38" s="212">
        <f>IFERROR(VLOOKUP($B38,MMWR_TRAD_AGG_DISTRICT_COMP[],O$1,0),"ERROR")</f>
        <v>11769</v>
      </c>
      <c r="P38" s="214">
        <f t="shared" si="3"/>
        <v>0.61109091853159558</v>
      </c>
      <c r="Q38" s="212">
        <f>IFERROR(VLOOKUP($B38,MMWR_TRAD_AGG_DISTRICT_COMP[],Q$1,0),"ERROR")</f>
        <v>56</v>
      </c>
      <c r="R38" s="215">
        <f>IFERROR(VLOOKUP($B38,MMWR_TRAD_AGG_DISTRICT_COMP[],R$1,0),"ERROR")</f>
        <v>1184</v>
      </c>
      <c r="S38" s="215">
        <f>IFERROR(VLOOKUP($B38,MMWR_APP_RO[],S$1,0),"ERROR")</f>
        <v>67672</v>
      </c>
      <c r="T38" s="28"/>
    </row>
    <row r="39" spans="1:20" x14ac:dyDescent="0.2">
      <c r="A39" s="28"/>
      <c r="B39" s="108" t="s">
        <v>36</v>
      </c>
      <c r="C39" s="219">
        <f>IFERROR(VLOOKUP($B39,MMWR_TRAD_AGG_RO_COMP[],C$1,0),"ERROR")</f>
        <v>217</v>
      </c>
      <c r="D39" s="220">
        <f>IFERROR(VLOOKUP($B39,MMWR_TRAD_AGG_RO_COMP[],D$1,0),"ERROR")</f>
        <v>280.23963133640001</v>
      </c>
      <c r="E39" s="221">
        <f>IFERROR(VLOOKUP($B39,MMWR_TRAD_AGG_RO_COMP[],E$1,0),"ERROR")</f>
        <v>705</v>
      </c>
      <c r="F39" s="222">
        <f>IFERROR(VLOOKUP($B39,MMWR_TRAD_AGG_RO_COMP[],F$1,0),"ERROR")</f>
        <v>69</v>
      </c>
      <c r="G39" s="223">
        <f t="shared" si="0"/>
        <v>9.7872340425531917E-2</v>
      </c>
      <c r="H39" s="224">
        <f>IFERROR(VLOOKUP($B39,MMWR_TRAD_AGG_RO_COMP[],H$1,0),"ERROR")</f>
        <v>685</v>
      </c>
      <c r="I39" s="222">
        <f>IFERROR(VLOOKUP($B39,MMWR_TRAD_AGG_RO_COMP[],I$1,0),"ERROR")</f>
        <v>207</v>
      </c>
      <c r="J39" s="223">
        <f t="shared" si="1"/>
        <v>0.30218978102189781</v>
      </c>
      <c r="K39" s="225">
        <f>IFERROR(VLOOKUP($B39,MMWR_TRAD_AGG_RO_COMP[],K$1,0),"ERROR")</f>
        <v>174</v>
      </c>
      <c r="L39" s="226">
        <f>IFERROR(VLOOKUP($B39,MMWR_TRAD_AGG_RO_COMP[],L$1,0),"ERROR")</f>
        <v>92</v>
      </c>
      <c r="M39" s="223">
        <f t="shared" si="2"/>
        <v>0.52873563218390807</v>
      </c>
      <c r="N39" s="225">
        <f>IFERROR(VLOOKUP($B39,MMWR_TRAD_AGG_RO_COMP[],N$1,0),"ERROR")</f>
        <v>111</v>
      </c>
      <c r="O39" s="226">
        <f>IFERROR(VLOOKUP($B39,MMWR_TRAD_AGG_RO_COMP[],O$1,0),"ERROR")</f>
        <v>46</v>
      </c>
      <c r="P39" s="223">
        <f t="shared" si="3"/>
        <v>0.4144144144144144</v>
      </c>
      <c r="Q39" s="227">
        <f>IFERROR(VLOOKUP($B39,MMWR_TRAD_AGG_RO_COMP[],Q$1,0),"ERROR")</f>
        <v>2</v>
      </c>
      <c r="R39" s="227">
        <f>IFERROR(VLOOKUP($B39,MMWR_TRAD_AGG_RO_COMP[],R$1,0),"ERROR")</f>
        <v>4</v>
      </c>
      <c r="S39" s="201">
        <f>IFERROR(VLOOKUP($B39,MMWR_APP_RO[],S$1,0),"ERROR")</f>
        <v>318</v>
      </c>
      <c r="T39" s="28"/>
    </row>
    <row r="40" spans="1:20" x14ac:dyDescent="0.2">
      <c r="A40" s="28"/>
      <c r="B40" s="108" t="s">
        <v>40</v>
      </c>
      <c r="C40" s="219">
        <f>IFERROR(VLOOKUP($B40,MMWR_TRAD_AGG_RO_COMP[],C$1,0),"ERROR")</f>
        <v>4844</v>
      </c>
      <c r="D40" s="220">
        <f>IFERROR(VLOOKUP($B40,MMWR_TRAD_AGG_RO_COMP[],D$1,0),"ERROR")</f>
        <v>404.67134599500002</v>
      </c>
      <c r="E40" s="221">
        <f>IFERROR(VLOOKUP($B40,MMWR_TRAD_AGG_RO_COMP[],E$1,0),"ERROR")</f>
        <v>7050</v>
      </c>
      <c r="F40" s="222">
        <f>IFERROR(VLOOKUP($B40,MMWR_TRAD_AGG_RO_COMP[],F$1,0),"ERROR")</f>
        <v>2077</v>
      </c>
      <c r="G40" s="223">
        <f t="shared" si="0"/>
        <v>0.2946099290780142</v>
      </c>
      <c r="H40" s="224">
        <f>IFERROR(VLOOKUP($B40,MMWR_TRAD_AGG_RO_COMP[],H$1,0),"ERROR")</f>
        <v>9431</v>
      </c>
      <c r="I40" s="222">
        <f>IFERROR(VLOOKUP($B40,MMWR_TRAD_AGG_RO_COMP[],I$1,0),"ERROR")</f>
        <v>4964</v>
      </c>
      <c r="J40" s="223">
        <f t="shared" si="1"/>
        <v>0.52634927367193296</v>
      </c>
      <c r="K40" s="225">
        <f>IFERROR(VLOOKUP($B40,MMWR_TRAD_AGG_RO_COMP[],K$1,0),"ERROR")</f>
        <v>3830</v>
      </c>
      <c r="L40" s="226">
        <f>IFERROR(VLOOKUP($B40,MMWR_TRAD_AGG_RO_COMP[],L$1,0),"ERROR")</f>
        <v>3247</v>
      </c>
      <c r="M40" s="223">
        <f t="shared" si="2"/>
        <v>0.84778067885117492</v>
      </c>
      <c r="N40" s="225">
        <f>IFERROR(VLOOKUP($B40,MMWR_TRAD_AGG_RO_COMP[],N$1,0),"ERROR")</f>
        <v>662</v>
      </c>
      <c r="O40" s="226">
        <f>IFERROR(VLOOKUP($B40,MMWR_TRAD_AGG_RO_COMP[],O$1,0),"ERROR")</f>
        <v>480</v>
      </c>
      <c r="P40" s="223">
        <f t="shared" si="3"/>
        <v>0.7250755287009063</v>
      </c>
      <c r="Q40" s="227">
        <f>IFERROR(VLOOKUP($B40,MMWR_TRAD_AGG_RO_COMP[],Q$1,0),"ERROR")</f>
        <v>0</v>
      </c>
      <c r="R40" s="227">
        <f>IFERROR(VLOOKUP($B40,MMWR_TRAD_AGG_RO_COMP[],R$1,0),"ERROR")</f>
        <v>52</v>
      </c>
      <c r="S40" s="201">
        <f>IFERROR(VLOOKUP($B40,MMWR_APP_RO[],S$1,0),"ERROR")</f>
        <v>6395</v>
      </c>
      <c r="T40" s="28"/>
    </row>
    <row r="41" spans="1:20" x14ac:dyDescent="0.2">
      <c r="A41" s="28"/>
      <c r="B41" s="108" t="s">
        <v>181</v>
      </c>
      <c r="C41" s="219">
        <f>IFERROR(VLOOKUP($B41,MMWR_TRAD_AGG_RO_COMP[],C$1,0),"ERROR")</f>
        <v>300</v>
      </c>
      <c r="D41" s="220">
        <f>IFERROR(VLOOKUP($B41,MMWR_TRAD_AGG_RO_COMP[],D$1,0),"ERROR")</f>
        <v>178.25</v>
      </c>
      <c r="E41" s="221">
        <f>IFERROR(VLOOKUP($B41,MMWR_TRAD_AGG_RO_COMP[],E$1,0),"ERROR")</f>
        <v>665</v>
      </c>
      <c r="F41" s="222">
        <f>IFERROR(VLOOKUP($B41,MMWR_TRAD_AGG_RO_COMP[],F$1,0),"ERROR")</f>
        <v>48</v>
      </c>
      <c r="G41" s="223">
        <f t="shared" si="0"/>
        <v>7.2180451127819553E-2</v>
      </c>
      <c r="H41" s="224">
        <f>IFERROR(VLOOKUP($B41,MMWR_TRAD_AGG_RO_COMP[],H$1,0),"ERROR")</f>
        <v>1128</v>
      </c>
      <c r="I41" s="222">
        <f>IFERROR(VLOOKUP($B41,MMWR_TRAD_AGG_RO_COMP[],I$1,0),"ERROR")</f>
        <v>98</v>
      </c>
      <c r="J41" s="223">
        <f t="shared" si="1"/>
        <v>8.6879432624113476E-2</v>
      </c>
      <c r="K41" s="225">
        <f>IFERROR(VLOOKUP($B41,MMWR_TRAD_AGG_RO_COMP[],K$1,0),"ERROR")</f>
        <v>389</v>
      </c>
      <c r="L41" s="226">
        <f>IFERROR(VLOOKUP($B41,MMWR_TRAD_AGG_RO_COMP[],L$1,0),"ERROR")</f>
        <v>211</v>
      </c>
      <c r="M41" s="223">
        <f t="shared" si="2"/>
        <v>0.54241645244215941</v>
      </c>
      <c r="N41" s="225">
        <f>IFERROR(VLOOKUP($B41,MMWR_TRAD_AGG_RO_COMP[],N$1,0),"ERROR")</f>
        <v>219</v>
      </c>
      <c r="O41" s="226">
        <f>IFERROR(VLOOKUP($B41,MMWR_TRAD_AGG_RO_COMP[],O$1,0),"ERROR")</f>
        <v>118</v>
      </c>
      <c r="P41" s="223">
        <f t="shared" si="3"/>
        <v>0.53881278538812782</v>
      </c>
      <c r="Q41" s="227">
        <f>IFERROR(VLOOKUP($B41,MMWR_TRAD_AGG_RO_COMP[],Q$1,0),"ERROR")</f>
        <v>0</v>
      </c>
      <c r="R41" s="227">
        <f>IFERROR(VLOOKUP($B41,MMWR_TRAD_AGG_RO_COMP[],R$1,0),"ERROR")</f>
        <v>3</v>
      </c>
      <c r="S41" s="201">
        <f>IFERROR(VLOOKUP($B41,MMWR_APP_RO[],S$1,0),"ERROR")</f>
        <v>333</v>
      </c>
      <c r="T41" s="28"/>
    </row>
    <row r="42" spans="1:20" x14ac:dyDescent="0.2">
      <c r="A42" s="28"/>
      <c r="B42" s="108" t="s">
        <v>46</v>
      </c>
      <c r="C42" s="219">
        <f>IFERROR(VLOOKUP($B42,MMWR_TRAD_AGG_RO_COMP[],C$1,0),"ERROR")</f>
        <v>9794</v>
      </c>
      <c r="D42" s="220">
        <f>IFERROR(VLOOKUP($B42,MMWR_TRAD_AGG_RO_COMP[],D$1,0),"ERROR")</f>
        <v>369.03338778839998</v>
      </c>
      <c r="E42" s="221">
        <f>IFERROR(VLOOKUP($B42,MMWR_TRAD_AGG_RO_COMP[],E$1,0),"ERROR")</f>
        <v>17379</v>
      </c>
      <c r="F42" s="222">
        <f>IFERROR(VLOOKUP($B42,MMWR_TRAD_AGG_RO_COMP[],F$1,0),"ERROR")</f>
        <v>4090</v>
      </c>
      <c r="G42" s="223">
        <f t="shared" si="0"/>
        <v>0.23534150411416077</v>
      </c>
      <c r="H42" s="224">
        <f>IFERROR(VLOOKUP($B42,MMWR_TRAD_AGG_RO_COMP[],H$1,0),"ERROR")</f>
        <v>17795</v>
      </c>
      <c r="I42" s="222">
        <f>IFERROR(VLOOKUP($B42,MMWR_TRAD_AGG_RO_COMP[],I$1,0),"ERROR")</f>
        <v>9718</v>
      </c>
      <c r="J42" s="223">
        <f t="shared" si="1"/>
        <v>0.54610845743186287</v>
      </c>
      <c r="K42" s="225">
        <f>IFERROR(VLOOKUP($B42,MMWR_TRAD_AGG_RO_COMP[],K$1,0),"ERROR")</f>
        <v>3626</v>
      </c>
      <c r="L42" s="226">
        <f>IFERROR(VLOOKUP($B42,MMWR_TRAD_AGG_RO_COMP[],L$1,0),"ERROR")</f>
        <v>2948</v>
      </c>
      <c r="M42" s="223">
        <f t="shared" si="2"/>
        <v>0.81301709873138439</v>
      </c>
      <c r="N42" s="225">
        <f>IFERROR(VLOOKUP($B42,MMWR_TRAD_AGG_RO_COMP[],N$1,0),"ERROR")</f>
        <v>3359</v>
      </c>
      <c r="O42" s="226">
        <f>IFERROR(VLOOKUP($B42,MMWR_TRAD_AGG_RO_COMP[],O$1,0),"ERROR")</f>
        <v>2760</v>
      </c>
      <c r="P42" s="223">
        <f t="shared" si="3"/>
        <v>0.82167311699910683</v>
      </c>
      <c r="Q42" s="227">
        <f>IFERROR(VLOOKUP($B42,MMWR_TRAD_AGG_RO_COMP[],Q$1,0),"ERROR")</f>
        <v>1</v>
      </c>
      <c r="R42" s="227">
        <f>IFERROR(VLOOKUP($B42,MMWR_TRAD_AGG_RO_COMP[],R$1,0),"ERROR")</f>
        <v>252</v>
      </c>
      <c r="S42" s="201">
        <f>IFERROR(VLOOKUP($B42,MMWR_APP_RO[],S$1,0),"ERROR")</f>
        <v>19580</v>
      </c>
      <c r="T42" s="28"/>
    </row>
    <row r="43" spans="1:20" x14ac:dyDescent="0.2">
      <c r="A43" s="28"/>
      <c r="B43" s="108" t="s">
        <v>49</v>
      </c>
      <c r="C43" s="219">
        <f>IFERROR(VLOOKUP($B43,MMWR_TRAD_AGG_RO_COMP[],C$1,0),"ERROR")</f>
        <v>2796</v>
      </c>
      <c r="D43" s="220">
        <f>IFERROR(VLOOKUP($B43,MMWR_TRAD_AGG_RO_COMP[],D$1,0),"ERROR")</f>
        <v>404.52145922749997</v>
      </c>
      <c r="E43" s="221">
        <f>IFERROR(VLOOKUP($B43,MMWR_TRAD_AGG_RO_COMP[],E$1,0),"ERROR")</f>
        <v>4571</v>
      </c>
      <c r="F43" s="222">
        <f>IFERROR(VLOOKUP($B43,MMWR_TRAD_AGG_RO_COMP[],F$1,0),"ERROR")</f>
        <v>1421</v>
      </c>
      <c r="G43" s="223">
        <f t="shared" si="0"/>
        <v>0.3108728943338438</v>
      </c>
      <c r="H43" s="224">
        <f>IFERROR(VLOOKUP($B43,MMWR_TRAD_AGG_RO_COMP[],H$1,0),"ERROR")</f>
        <v>6660</v>
      </c>
      <c r="I43" s="222">
        <f>IFERROR(VLOOKUP($B43,MMWR_TRAD_AGG_RO_COMP[],I$1,0),"ERROR")</f>
        <v>3751</v>
      </c>
      <c r="J43" s="223">
        <f t="shared" si="1"/>
        <v>0.56321321321321316</v>
      </c>
      <c r="K43" s="225">
        <f>IFERROR(VLOOKUP($B43,MMWR_TRAD_AGG_RO_COMP[],K$1,0),"ERROR")</f>
        <v>2626</v>
      </c>
      <c r="L43" s="226">
        <f>IFERROR(VLOOKUP($B43,MMWR_TRAD_AGG_RO_COMP[],L$1,0),"ERROR")</f>
        <v>2001</v>
      </c>
      <c r="M43" s="223">
        <f t="shared" si="2"/>
        <v>0.76199543031226202</v>
      </c>
      <c r="N43" s="225">
        <f>IFERROR(VLOOKUP($B43,MMWR_TRAD_AGG_RO_COMP[],N$1,0),"ERROR")</f>
        <v>816</v>
      </c>
      <c r="O43" s="226">
        <f>IFERROR(VLOOKUP($B43,MMWR_TRAD_AGG_RO_COMP[],O$1,0),"ERROR")</f>
        <v>630</v>
      </c>
      <c r="P43" s="223">
        <f t="shared" si="3"/>
        <v>0.7720588235294118</v>
      </c>
      <c r="Q43" s="227">
        <f>IFERROR(VLOOKUP($B43,MMWR_TRAD_AGG_RO_COMP[],Q$1,0),"ERROR")</f>
        <v>47</v>
      </c>
      <c r="R43" s="227">
        <f>IFERROR(VLOOKUP($B43,MMWR_TRAD_AGG_RO_COMP[],R$1,0),"ERROR")</f>
        <v>285</v>
      </c>
      <c r="S43" s="201">
        <f>IFERROR(VLOOKUP($B43,MMWR_APP_RO[],S$1,0),"ERROR")</f>
        <v>4631</v>
      </c>
      <c r="T43" s="28"/>
    </row>
    <row r="44" spans="1:20" x14ac:dyDescent="0.2">
      <c r="A44" s="28"/>
      <c r="B44" s="108" t="s">
        <v>51</v>
      </c>
      <c r="C44" s="219">
        <f>IFERROR(VLOOKUP($B44,MMWR_TRAD_AGG_RO_COMP[],C$1,0),"ERROR")</f>
        <v>3327</v>
      </c>
      <c r="D44" s="220">
        <f>IFERROR(VLOOKUP($B44,MMWR_TRAD_AGG_RO_COMP[],D$1,0),"ERROR")</f>
        <v>260.44995491430001</v>
      </c>
      <c r="E44" s="221">
        <f>IFERROR(VLOOKUP($B44,MMWR_TRAD_AGG_RO_COMP[],E$1,0),"ERROR")</f>
        <v>3349</v>
      </c>
      <c r="F44" s="222">
        <f>IFERROR(VLOOKUP($B44,MMWR_TRAD_AGG_RO_COMP[],F$1,0),"ERROR")</f>
        <v>426</v>
      </c>
      <c r="G44" s="223">
        <f t="shared" si="0"/>
        <v>0.1272021498954912</v>
      </c>
      <c r="H44" s="224">
        <f>IFERROR(VLOOKUP($B44,MMWR_TRAD_AGG_RO_COMP[],H$1,0),"ERROR")</f>
        <v>7680</v>
      </c>
      <c r="I44" s="222">
        <f>IFERROR(VLOOKUP($B44,MMWR_TRAD_AGG_RO_COMP[],I$1,0),"ERROR")</f>
        <v>2982</v>
      </c>
      <c r="J44" s="223">
        <f t="shared" si="1"/>
        <v>0.38828125000000002</v>
      </c>
      <c r="K44" s="225">
        <f>IFERROR(VLOOKUP($B44,MMWR_TRAD_AGG_RO_COMP[],K$1,0),"ERROR")</f>
        <v>3665</v>
      </c>
      <c r="L44" s="226">
        <f>IFERROR(VLOOKUP($B44,MMWR_TRAD_AGG_RO_COMP[],L$1,0),"ERROR")</f>
        <v>2591</v>
      </c>
      <c r="M44" s="223">
        <f t="shared" si="2"/>
        <v>0.70695770804911329</v>
      </c>
      <c r="N44" s="225">
        <f>IFERROR(VLOOKUP($B44,MMWR_TRAD_AGG_RO_COMP[],N$1,0),"ERROR")</f>
        <v>1654</v>
      </c>
      <c r="O44" s="226">
        <f>IFERROR(VLOOKUP($B44,MMWR_TRAD_AGG_RO_COMP[],O$1,0),"ERROR")</f>
        <v>1110</v>
      </c>
      <c r="P44" s="223">
        <f t="shared" si="3"/>
        <v>0.67110036275695284</v>
      </c>
      <c r="Q44" s="227">
        <f>IFERROR(VLOOKUP($B44,MMWR_TRAD_AGG_RO_COMP[],Q$1,0),"ERROR")</f>
        <v>0</v>
      </c>
      <c r="R44" s="227">
        <f>IFERROR(VLOOKUP($B44,MMWR_TRAD_AGG_RO_COMP[],R$1,0),"ERROR")</f>
        <v>99</v>
      </c>
      <c r="S44" s="201">
        <f>IFERROR(VLOOKUP($B44,MMWR_APP_RO[],S$1,0),"ERROR")</f>
        <v>5289</v>
      </c>
      <c r="T44" s="28"/>
    </row>
    <row r="45" spans="1:20" x14ac:dyDescent="0.2">
      <c r="A45" s="28"/>
      <c r="B45" s="108" t="s">
        <v>27</v>
      </c>
      <c r="C45" s="219">
        <f>IFERROR(VLOOKUP($B45,MMWR_TRAD_AGG_RO_COMP[],C$1,0),"ERROR")</f>
        <v>1106</v>
      </c>
      <c r="D45" s="220">
        <f>IFERROR(VLOOKUP($B45,MMWR_TRAD_AGG_RO_COMP[],D$1,0),"ERROR")</f>
        <v>82.810126582300001</v>
      </c>
      <c r="E45" s="221">
        <f>IFERROR(VLOOKUP($B45,MMWR_TRAD_AGG_RO_COMP[],E$1,0),"ERROR")</f>
        <v>5779</v>
      </c>
      <c r="F45" s="222">
        <f>IFERROR(VLOOKUP($B45,MMWR_TRAD_AGG_RO_COMP[],F$1,0),"ERROR")</f>
        <v>507</v>
      </c>
      <c r="G45" s="223">
        <f t="shared" si="0"/>
        <v>8.7731441425852222E-2</v>
      </c>
      <c r="H45" s="224">
        <f>IFERROR(VLOOKUP($B45,MMWR_TRAD_AGG_RO_COMP[],H$1,0),"ERROR")</f>
        <v>5715</v>
      </c>
      <c r="I45" s="222">
        <f>IFERROR(VLOOKUP($B45,MMWR_TRAD_AGG_RO_COMP[],I$1,0),"ERROR")</f>
        <v>740</v>
      </c>
      <c r="J45" s="223">
        <f t="shared" si="1"/>
        <v>0.12948381452318461</v>
      </c>
      <c r="K45" s="225">
        <f>IFERROR(VLOOKUP($B45,MMWR_TRAD_AGG_RO_COMP[],K$1,0),"ERROR")</f>
        <v>952</v>
      </c>
      <c r="L45" s="226">
        <f>IFERROR(VLOOKUP($B45,MMWR_TRAD_AGG_RO_COMP[],L$1,0),"ERROR")</f>
        <v>351</v>
      </c>
      <c r="M45" s="223">
        <f t="shared" si="2"/>
        <v>0.36869747899159666</v>
      </c>
      <c r="N45" s="225">
        <f>IFERROR(VLOOKUP($B45,MMWR_TRAD_AGG_RO_COMP[],N$1,0),"ERROR")</f>
        <v>1583</v>
      </c>
      <c r="O45" s="226">
        <f>IFERROR(VLOOKUP($B45,MMWR_TRAD_AGG_RO_COMP[],O$1,0),"ERROR")</f>
        <v>1023</v>
      </c>
      <c r="P45" s="223">
        <f t="shared" si="3"/>
        <v>0.64624131396083384</v>
      </c>
      <c r="Q45" s="227">
        <f>IFERROR(VLOOKUP($B45,MMWR_TRAD_AGG_RO_COMP[],Q$1,0),"ERROR")</f>
        <v>1</v>
      </c>
      <c r="R45" s="227">
        <f>IFERROR(VLOOKUP($B45,MMWR_TRAD_AGG_RO_COMP[],R$1,0),"ERROR")</f>
        <v>15</v>
      </c>
      <c r="S45" s="201">
        <f>IFERROR(VLOOKUP($B45,MMWR_APP_RO[],S$1,0),"ERROR")</f>
        <v>3977</v>
      </c>
      <c r="T45" s="28"/>
    </row>
    <row r="46" spans="1:20" x14ac:dyDescent="0.2">
      <c r="A46" s="28"/>
      <c r="B46" s="108" t="s">
        <v>59</v>
      </c>
      <c r="C46" s="219">
        <f>IFERROR(VLOOKUP($B46,MMWR_TRAD_AGG_RO_COMP[],C$1,0),"ERROR")</f>
        <v>3540</v>
      </c>
      <c r="D46" s="220">
        <f>IFERROR(VLOOKUP($B46,MMWR_TRAD_AGG_RO_COMP[],D$1,0),"ERROR")</f>
        <v>438.57994350280001</v>
      </c>
      <c r="E46" s="221">
        <f>IFERROR(VLOOKUP($B46,MMWR_TRAD_AGG_RO_COMP[],E$1,0),"ERROR")</f>
        <v>4974</v>
      </c>
      <c r="F46" s="222">
        <f>IFERROR(VLOOKUP($B46,MMWR_TRAD_AGG_RO_COMP[],F$1,0),"ERROR")</f>
        <v>988</v>
      </c>
      <c r="G46" s="223">
        <f t="shared" si="0"/>
        <v>0.19863289103337353</v>
      </c>
      <c r="H46" s="224">
        <f>IFERROR(VLOOKUP($B46,MMWR_TRAD_AGG_RO_COMP[],H$1,0),"ERROR")</f>
        <v>6483</v>
      </c>
      <c r="I46" s="222">
        <f>IFERROR(VLOOKUP($B46,MMWR_TRAD_AGG_RO_COMP[],I$1,0),"ERROR")</f>
        <v>3170</v>
      </c>
      <c r="J46" s="223">
        <f t="shared" si="1"/>
        <v>0.48897115532932284</v>
      </c>
      <c r="K46" s="225">
        <f>IFERROR(VLOOKUP($B46,MMWR_TRAD_AGG_RO_COMP[],K$1,0),"ERROR")</f>
        <v>1203</v>
      </c>
      <c r="L46" s="226">
        <f>IFERROR(VLOOKUP($B46,MMWR_TRAD_AGG_RO_COMP[],L$1,0),"ERROR")</f>
        <v>810</v>
      </c>
      <c r="M46" s="223">
        <f t="shared" si="2"/>
        <v>0.67331670822942646</v>
      </c>
      <c r="N46" s="225">
        <f>IFERROR(VLOOKUP($B46,MMWR_TRAD_AGG_RO_COMP[],N$1,0),"ERROR")</f>
        <v>1912</v>
      </c>
      <c r="O46" s="226">
        <f>IFERROR(VLOOKUP($B46,MMWR_TRAD_AGG_RO_COMP[],O$1,0),"ERROR")</f>
        <v>1341</v>
      </c>
      <c r="P46" s="223">
        <f t="shared" si="3"/>
        <v>0.70135983263598323</v>
      </c>
      <c r="Q46" s="227">
        <f>IFERROR(VLOOKUP($B46,MMWR_TRAD_AGG_RO_COMP[],Q$1,0),"ERROR")</f>
        <v>2</v>
      </c>
      <c r="R46" s="227">
        <f>IFERROR(VLOOKUP($B46,MMWR_TRAD_AGG_RO_COMP[],R$1,0),"ERROR")</f>
        <v>274</v>
      </c>
      <c r="S46" s="201">
        <f>IFERROR(VLOOKUP($B46,MMWR_APP_RO[],S$1,0),"ERROR")</f>
        <v>5819</v>
      </c>
      <c r="T46" s="28"/>
    </row>
    <row r="47" spans="1:20" x14ac:dyDescent="0.2">
      <c r="A47" s="28"/>
      <c r="B47" s="108" t="s">
        <v>70</v>
      </c>
      <c r="C47" s="219">
        <f>IFERROR(VLOOKUP($B47,MMWR_TRAD_AGG_RO_COMP[],C$1,0),"ERROR")</f>
        <v>2920</v>
      </c>
      <c r="D47" s="220">
        <f>IFERROR(VLOOKUP($B47,MMWR_TRAD_AGG_RO_COMP[],D$1,0),"ERROR")</f>
        <v>253.6294520548</v>
      </c>
      <c r="E47" s="221">
        <f>IFERROR(VLOOKUP($B47,MMWR_TRAD_AGG_RO_COMP[],E$1,0),"ERROR")</f>
        <v>3137</v>
      </c>
      <c r="F47" s="222">
        <f>IFERROR(VLOOKUP($B47,MMWR_TRAD_AGG_RO_COMP[],F$1,0),"ERROR")</f>
        <v>428</v>
      </c>
      <c r="G47" s="223">
        <f t="shared" si="0"/>
        <v>0.13643608543194136</v>
      </c>
      <c r="H47" s="224">
        <f>IFERROR(VLOOKUP($B47,MMWR_TRAD_AGG_RO_COMP[],H$1,0),"ERROR")</f>
        <v>6430</v>
      </c>
      <c r="I47" s="222">
        <f>IFERROR(VLOOKUP($B47,MMWR_TRAD_AGG_RO_COMP[],I$1,0),"ERROR")</f>
        <v>2556</v>
      </c>
      <c r="J47" s="223">
        <f t="shared" si="1"/>
        <v>0.39751166407465005</v>
      </c>
      <c r="K47" s="225">
        <f>IFERROR(VLOOKUP($B47,MMWR_TRAD_AGG_RO_COMP[],K$1,0),"ERROR")</f>
        <v>1393</v>
      </c>
      <c r="L47" s="226">
        <f>IFERROR(VLOOKUP($B47,MMWR_TRAD_AGG_RO_COMP[],L$1,0),"ERROR")</f>
        <v>705</v>
      </c>
      <c r="M47" s="223">
        <f t="shared" si="2"/>
        <v>0.5061019382627423</v>
      </c>
      <c r="N47" s="225">
        <f>IFERROR(VLOOKUP($B47,MMWR_TRAD_AGG_RO_COMP[],N$1,0),"ERROR")</f>
        <v>461</v>
      </c>
      <c r="O47" s="226">
        <f>IFERROR(VLOOKUP($B47,MMWR_TRAD_AGG_RO_COMP[],O$1,0),"ERROR")</f>
        <v>236</v>
      </c>
      <c r="P47" s="223">
        <f t="shared" si="3"/>
        <v>0.51193058568329719</v>
      </c>
      <c r="Q47" s="227">
        <f>IFERROR(VLOOKUP($B47,MMWR_TRAD_AGG_RO_COMP[],Q$1,0),"ERROR")</f>
        <v>0</v>
      </c>
      <c r="R47" s="227">
        <f>IFERROR(VLOOKUP($B47,MMWR_TRAD_AGG_RO_COMP[],R$1,0),"ERROR")</f>
        <v>2</v>
      </c>
      <c r="S47" s="201">
        <f>IFERROR(VLOOKUP($B47,MMWR_APP_RO[],S$1,0),"ERROR")</f>
        <v>1091</v>
      </c>
      <c r="T47" s="28"/>
    </row>
    <row r="48" spans="1:20" x14ac:dyDescent="0.2">
      <c r="A48" s="28"/>
      <c r="B48" s="116" t="s">
        <v>79</v>
      </c>
      <c r="C48" s="228">
        <f>IFERROR(VLOOKUP($B48,MMWR_TRAD_AGG_RO_COMP[],C$1,0),"ERROR")</f>
        <v>9827</v>
      </c>
      <c r="D48" s="229">
        <f>IFERROR(VLOOKUP($B48,MMWR_TRAD_AGG_RO_COMP[],D$1,0),"ERROR")</f>
        <v>296.75414673860001</v>
      </c>
      <c r="E48" s="230">
        <f>IFERROR(VLOOKUP($B48,MMWR_TRAD_AGG_RO_COMP[],E$1,0),"ERROR")</f>
        <v>17090</v>
      </c>
      <c r="F48" s="231">
        <f>IFERROR(VLOOKUP($B48,MMWR_TRAD_AGG_RO_COMP[],F$1,0),"ERROR")</f>
        <v>2913</v>
      </c>
      <c r="G48" s="232">
        <f t="shared" si="0"/>
        <v>0.17045055588063196</v>
      </c>
      <c r="H48" s="233">
        <f>IFERROR(VLOOKUP($B48,MMWR_TRAD_AGG_RO_COMP[],H$1,0),"ERROR")</f>
        <v>16607</v>
      </c>
      <c r="I48" s="231">
        <f>IFERROR(VLOOKUP($B48,MMWR_TRAD_AGG_RO_COMP[],I$1,0),"ERROR")</f>
        <v>6865</v>
      </c>
      <c r="J48" s="232">
        <f t="shared" si="1"/>
        <v>0.41337990004215092</v>
      </c>
      <c r="K48" s="234">
        <f>IFERROR(VLOOKUP($B48,MMWR_TRAD_AGG_RO_COMP[],K$1,0),"ERROR")</f>
        <v>3506</v>
      </c>
      <c r="L48" s="235">
        <f>IFERROR(VLOOKUP($B48,MMWR_TRAD_AGG_RO_COMP[],L$1,0),"ERROR")</f>
        <v>2240</v>
      </c>
      <c r="M48" s="232">
        <f t="shared" si="2"/>
        <v>0.63890473474044496</v>
      </c>
      <c r="N48" s="234">
        <f>IFERROR(VLOOKUP($B48,MMWR_TRAD_AGG_RO_COMP[],N$1,0),"ERROR")</f>
        <v>8482</v>
      </c>
      <c r="O48" s="235">
        <f>IFERROR(VLOOKUP($B48,MMWR_TRAD_AGG_RO_COMP[],O$1,0),"ERROR")</f>
        <v>4025</v>
      </c>
      <c r="P48" s="232">
        <f t="shared" si="3"/>
        <v>0.47453430794623908</v>
      </c>
      <c r="Q48" s="236">
        <f>IFERROR(VLOOKUP($B48,MMWR_TRAD_AGG_RO_COMP[],Q$1,0),"ERROR")</f>
        <v>3</v>
      </c>
      <c r="R48" s="236">
        <f>IFERROR(VLOOKUP($B48,MMWR_TRAD_AGG_RO_COMP[],R$1,0),"ERROR")</f>
        <v>198</v>
      </c>
      <c r="S48" s="201">
        <f>IFERROR(VLOOKUP($B48,MMWR_APP_RO[],S$1,0),"ERROR")</f>
        <v>20239</v>
      </c>
      <c r="T48" s="28"/>
    </row>
    <row r="49" spans="1:20" x14ac:dyDescent="0.2">
      <c r="A49" s="28"/>
      <c r="B49" s="101" t="s">
        <v>403</v>
      </c>
      <c r="C49" s="212">
        <f>IFERROR(VLOOKUP($B49,MMWR_TRAD_AGG_DISTRICT_COMP[],C$1,0),"ERROR")</f>
        <v>42728</v>
      </c>
      <c r="D49" s="197">
        <f>IFERROR(VLOOKUP($B49,MMWR_TRAD_AGG_DISTRICT_COMP[],D$1,0),"ERROR")</f>
        <v>391.74700430630003</v>
      </c>
      <c r="E49" s="213">
        <f>IFERROR(VLOOKUP($B49,MMWR_TRAD_AGG_DISTRICT_COMP[],E$1,0),"ERROR")</f>
        <v>64256</v>
      </c>
      <c r="F49" s="218">
        <f>IFERROR(VLOOKUP($B49,MMWR_TRAD_AGG_DISTRICT_COMP[],F$1,0),"ERROR")</f>
        <v>12693</v>
      </c>
      <c r="G49" s="214">
        <f t="shared" si="0"/>
        <v>0.19753797310756971</v>
      </c>
      <c r="H49" s="218">
        <f>IFERROR(VLOOKUP($B49,MMWR_TRAD_AGG_DISTRICT_COMP[],H$1,0),"ERROR")</f>
        <v>86482</v>
      </c>
      <c r="I49" s="218">
        <f>IFERROR(VLOOKUP($B49,MMWR_TRAD_AGG_DISTRICT_COMP[],I$1,0),"ERROR")</f>
        <v>44130</v>
      </c>
      <c r="J49" s="214">
        <f t="shared" si="1"/>
        <v>0.5102795957540297</v>
      </c>
      <c r="K49" s="212">
        <f>IFERROR(VLOOKUP($B49,MMWR_TRAD_AGG_DISTRICT_COMP[],K$1,0),"ERROR")</f>
        <v>24239</v>
      </c>
      <c r="L49" s="212">
        <f>IFERROR(VLOOKUP($B49,MMWR_TRAD_AGG_DISTRICT_COMP[],L$1,0),"ERROR")</f>
        <v>18157</v>
      </c>
      <c r="M49" s="214">
        <f t="shared" si="2"/>
        <v>0.74908205784066995</v>
      </c>
      <c r="N49" s="212">
        <f>IFERROR(VLOOKUP($B49,MMWR_TRAD_AGG_DISTRICT_COMP[],N$1,0),"ERROR")</f>
        <v>19084</v>
      </c>
      <c r="O49" s="212">
        <f>IFERROR(VLOOKUP($B49,MMWR_TRAD_AGG_DISTRICT_COMP[],O$1,0),"ERROR")</f>
        <v>14679</v>
      </c>
      <c r="P49" s="214">
        <f t="shared" si="3"/>
        <v>0.76917836931460914</v>
      </c>
      <c r="Q49" s="212">
        <f>IFERROR(VLOOKUP($B49,MMWR_TRAD_AGG_DISTRICT_COMP[],Q$1,0),"ERROR")</f>
        <v>479</v>
      </c>
      <c r="R49" s="215">
        <f>IFERROR(VLOOKUP($B49,MMWR_TRAD_AGG_DISTRICT_COMP[],R$1,0),"ERROR")</f>
        <v>792</v>
      </c>
      <c r="S49" s="215">
        <f>IFERROR(VLOOKUP($B49,MMWR_APP_RO[],S$1,0),"ERROR")</f>
        <v>40526</v>
      </c>
      <c r="T49" s="28"/>
    </row>
    <row r="50" spans="1:20" x14ac:dyDescent="0.2">
      <c r="A50" s="28"/>
      <c r="B50" s="108" t="s">
        <v>31</v>
      </c>
      <c r="C50" s="219">
        <f>IFERROR(VLOOKUP($B50,MMWR_TRAD_AGG_RO_COMP[],C$1,0),"ERROR")</f>
        <v>553</v>
      </c>
      <c r="D50" s="220">
        <f>IFERROR(VLOOKUP($B50,MMWR_TRAD_AGG_RO_COMP[],D$1,0),"ERROR")</f>
        <v>178.0433996383</v>
      </c>
      <c r="E50" s="221">
        <f>IFERROR(VLOOKUP($B50,MMWR_TRAD_AGG_RO_COMP[],E$1,0),"ERROR")</f>
        <v>2862</v>
      </c>
      <c r="F50" s="222">
        <f>IFERROR(VLOOKUP($B50,MMWR_TRAD_AGG_RO_COMP[],F$1,0),"ERROR")</f>
        <v>614</v>
      </c>
      <c r="G50" s="223">
        <f t="shared" si="0"/>
        <v>0.21453529000698812</v>
      </c>
      <c r="H50" s="224">
        <f>IFERROR(VLOOKUP($B50,MMWR_TRAD_AGG_RO_COMP[],H$1,0),"ERROR")</f>
        <v>1579</v>
      </c>
      <c r="I50" s="222">
        <f>IFERROR(VLOOKUP($B50,MMWR_TRAD_AGG_RO_COMP[],I$1,0),"ERROR")</f>
        <v>353</v>
      </c>
      <c r="J50" s="223">
        <f t="shared" si="1"/>
        <v>0.22355921469284357</v>
      </c>
      <c r="K50" s="225">
        <f>IFERROR(VLOOKUP($B50,MMWR_TRAD_AGG_RO_COMP[],K$1,0),"ERROR")</f>
        <v>289</v>
      </c>
      <c r="L50" s="226">
        <f>IFERROR(VLOOKUP($B50,MMWR_TRAD_AGG_RO_COMP[],L$1,0),"ERROR")</f>
        <v>123</v>
      </c>
      <c r="M50" s="223">
        <f t="shared" si="2"/>
        <v>0.42560553633217996</v>
      </c>
      <c r="N50" s="225">
        <f>IFERROR(VLOOKUP($B50,MMWR_TRAD_AGG_RO_COMP[],N$1,0),"ERROR")</f>
        <v>422</v>
      </c>
      <c r="O50" s="226">
        <f>IFERROR(VLOOKUP($B50,MMWR_TRAD_AGG_RO_COMP[],O$1,0),"ERROR")</f>
        <v>269</v>
      </c>
      <c r="P50" s="223">
        <f t="shared" si="3"/>
        <v>0.63744075829383884</v>
      </c>
      <c r="Q50" s="227">
        <f>IFERROR(VLOOKUP($B50,MMWR_TRAD_AGG_RO_COMP[],Q$1,0),"ERROR")</f>
        <v>0</v>
      </c>
      <c r="R50" s="227">
        <f>IFERROR(VLOOKUP($B50,MMWR_TRAD_AGG_RO_COMP[],R$1,0),"ERROR")</f>
        <v>9</v>
      </c>
      <c r="S50" s="201">
        <f>IFERROR(VLOOKUP($B50,MMWR_APP_RO[],S$1,0),"ERROR")</f>
        <v>1474</v>
      </c>
      <c r="T50" s="28"/>
    </row>
    <row r="51" spans="1:20" x14ac:dyDescent="0.2">
      <c r="A51" s="28"/>
      <c r="B51" s="108" t="s">
        <v>32</v>
      </c>
      <c r="C51" s="219">
        <f>IFERROR(VLOOKUP($B51,MMWR_TRAD_AGG_RO_COMP[],C$1,0),"ERROR")</f>
        <v>2030</v>
      </c>
      <c r="D51" s="220">
        <f>IFERROR(VLOOKUP($B51,MMWR_TRAD_AGG_RO_COMP[],D$1,0),"ERROR")</f>
        <v>528.22512315270001</v>
      </c>
      <c r="E51" s="221">
        <f>IFERROR(VLOOKUP($B51,MMWR_TRAD_AGG_RO_COMP[],E$1,0),"ERROR")</f>
        <v>1046</v>
      </c>
      <c r="F51" s="222">
        <f>IFERROR(VLOOKUP($B51,MMWR_TRAD_AGG_RO_COMP[],F$1,0),"ERROR")</f>
        <v>287</v>
      </c>
      <c r="G51" s="223">
        <f t="shared" si="0"/>
        <v>0.27437858508604207</v>
      </c>
      <c r="H51" s="224">
        <f>IFERROR(VLOOKUP($B51,MMWR_TRAD_AGG_RO_COMP[],H$1,0),"ERROR")</f>
        <v>3126</v>
      </c>
      <c r="I51" s="222">
        <f>IFERROR(VLOOKUP($B51,MMWR_TRAD_AGG_RO_COMP[],I$1,0),"ERROR")</f>
        <v>2213</v>
      </c>
      <c r="J51" s="223">
        <f t="shared" si="1"/>
        <v>0.70793346129238643</v>
      </c>
      <c r="K51" s="225">
        <f>IFERROR(VLOOKUP($B51,MMWR_TRAD_AGG_RO_COMP[],K$1,0),"ERROR")</f>
        <v>1544</v>
      </c>
      <c r="L51" s="226">
        <f>IFERROR(VLOOKUP($B51,MMWR_TRAD_AGG_RO_COMP[],L$1,0),"ERROR")</f>
        <v>1265</v>
      </c>
      <c r="M51" s="223">
        <f t="shared" si="2"/>
        <v>0.81930051813471505</v>
      </c>
      <c r="N51" s="225">
        <f>IFERROR(VLOOKUP($B51,MMWR_TRAD_AGG_RO_COMP[],N$1,0),"ERROR")</f>
        <v>196</v>
      </c>
      <c r="O51" s="226">
        <f>IFERROR(VLOOKUP($B51,MMWR_TRAD_AGG_RO_COMP[],O$1,0),"ERROR")</f>
        <v>165</v>
      </c>
      <c r="P51" s="223">
        <f t="shared" si="3"/>
        <v>0.84183673469387754</v>
      </c>
      <c r="Q51" s="227">
        <f>IFERROR(VLOOKUP($B51,MMWR_TRAD_AGG_RO_COMP[],Q$1,0),"ERROR")</f>
        <v>0</v>
      </c>
      <c r="R51" s="227">
        <f>IFERROR(VLOOKUP($B51,MMWR_TRAD_AGG_RO_COMP[],R$1,0),"ERROR")</f>
        <v>3</v>
      </c>
      <c r="S51" s="201">
        <f>IFERROR(VLOOKUP($B51,MMWR_APP_RO[],S$1,0),"ERROR")</f>
        <v>176</v>
      </c>
      <c r="T51" s="28"/>
    </row>
    <row r="52" spans="1:20" x14ac:dyDescent="0.2">
      <c r="A52" s="28"/>
      <c r="B52" s="108" t="s">
        <v>34</v>
      </c>
      <c r="C52" s="219">
        <f>IFERROR(VLOOKUP($B52,MMWR_TRAD_AGG_RO_COMP[],C$1,0),"ERROR")</f>
        <v>313</v>
      </c>
      <c r="D52" s="220">
        <f>IFERROR(VLOOKUP($B52,MMWR_TRAD_AGG_RO_COMP[],D$1,0),"ERROR")</f>
        <v>73.587859424900003</v>
      </c>
      <c r="E52" s="221">
        <f>IFERROR(VLOOKUP($B52,MMWR_TRAD_AGG_RO_COMP[],E$1,0),"ERROR")</f>
        <v>1723</v>
      </c>
      <c r="F52" s="222">
        <f>IFERROR(VLOOKUP($B52,MMWR_TRAD_AGG_RO_COMP[],F$1,0),"ERROR")</f>
        <v>445</v>
      </c>
      <c r="G52" s="223">
        <f t="shared" si="0"/>
        <v>0.25827045850261171</v>
      </c>
      <c r="H52" s="224">
        <f>IFERROR(VLOOKUP($B52,MMWR_TRAD_AGG_RO_COMP[],H$1,0),"ERROR")</f>
        <v>1156</v>
      </c>
      <c r="I52" s="222">
        <f>IFERROR(VLOOKUP($B52,MMWR_TRAD_AGG_RO_COMP[],I$1,0),"ERROR")</f>
        <v>83</v>
      </c>
      <c r="J52" s="223">
        <f t="shared" si="1"/>
        <v>7.1799307958477512E-2</v>
      </c>
      <c r="K52" s="225">
        <f>IFERROR(VLOOKUP($B52,MMWR_TRAD_AGG_RO_COMP[],K$1,0),"ERROR")</f>
        <v>133</v>
      </c>
      <c r="L52" s="226">
        <f>IFERROR(VLOOKUP($B52,MMWR_TRAD_AGG_RO_COMP[],L$1,0),"ERROR")</f>
        <v>30</v>
      </c>
      <c r="M52" s="223">
        <f t="shared" si="2"/>
        <v>0.22556390977443608</v>
      </c>
      <c r="N52" s="225">
        <f>IFERROR(VLOOKUP($B52,MMWR_TRAD_AGG_RO_COMP[],N$1,0),"ERROR")</f>
        <v>129</v>
      </c>
      <c r="O52" s="226">
        <f>IFERROR(VLOOKUP($B52,MMWR_TRAD_AGG_RO_COMP[],O$1,0),"ERROR")</f>
        <v>76</v>
      </c>
      <c r="P52" s="223">
        <f t="shared" si="3"/>
        <v>0.58914728682170547</v>
      </c>
      <c r="Q52" s="227">
        <f>IFERROR(VLOOKUP($B52,MMWR_TRAD_AGG_RO_COMP[],Q$1,0),"ERROR")</f>
        <v>0</v>
      </c>
      <c r="R52" s="227">
        <f>IFERROR(VLOOKUP($B52,MMWR_TRAD_AGG_RO_COMP[],R$1,0),"ERROR")</f>
        <v>5</v>
      </c>
      <c r="S52" s="201">
        <f>IFERROR(VLOOKUP($B52,MMWR_APP_RO[],S$1,0),"ERROR")</f>
        <v>793</v>
      </c>
      <c r="T52" s="28"/>
    </row>
    <row r="53" spans="1:20" x14ac:dyDescent="0.2">
      <c r="A53" s="28"/>
      <c r="B53" s="108" t="s">
        <v>45</v>
      </c>
      <c r="C53" s="219">
        <f>IFERROR(VLOOKUP($B53,MMWR_TRAD_AGG_RO_COMP[],C$1,0),"ERROR")</f>
        <v>1104</v>
      </c>
      <c r="D53" s="220">
        <f>IFERROR(VLOOKUP($B53,MMWR_TRAD_AGG_RO_COMP[],D$1,0),"ERROR")</f>
        <v>218.2735507246</v>
      </c>
      <c r="E53" s="221">
        <f>IFERROR(VLOOKUP($B53,MMWR_TRAD_AGG_RO_COMP[],E$1,0),"ERROR")</f>
        <v>2465</v>
      </c>
      <c r="F53" s="222">
        <f>IFERROR(VLOOKUP($B53,MMWR_TRAD_AGG_RO_COMP[],F$1,0),"ERROR")</f>
        <v>370</v>
      </c>
      <c r="G53" s="223">
        <f t="shared" si="0"/>
        <v>0.15010141987829614</v>
      </c>
      <c r="H53" s="224">
        <f>IFERROR(VLOOKUP($B53,MMWR_TRAD_AGG_RO_COMP[],H$1,0),"ERROR")</f>
        <v>2244</v>
      </c>
      <c r="I53" s="222">
        <f>IFERROR(VLOOKUP($B53,MMWR_TRAD_AGG_RO_COMP[],I$1,0),"ERROR")</f>
        <v>663</v>
      </c>
      <c r="J53" s="223">
        <f t="shared" si="1"/>
        <v>0.29545454545454547</v>
      </c>
      <c r="K53" s="225">
        <f>IFERROR(VLOOKUP($B53,MMWR_TRAD_AGG_RO_COMP[],K$1,0),"ERROR")</f>
        <v>937</v>
      </c>
      <c r="L53" s="226">
        <f>IFERROR(VLOOKUP($B53,MMWR_TRAD_AGG_RO_COMP[],L$1,0),"ERROR")</f>
        <v>499</v>
      </c>
      <c r="M53" s="223">
        <f t="shared" si="2"/>
        <v>0.53255069370330843</v>
      </c>
      <c r="N53" s="225">
        <f>IFERROR(VLOOKUP($B53,MMWR_TRAD_AGG_RO_COMP[],N$1,0),"ERROR")</f>
        <v>199</v>
      </c>
      <c r="O53" s="226">
        <f>IFERROR(VLOOKUP($B53,MMWR_TRAD_AGG_RO_COMP[],O$1,0),"ERROR")</f>
        <v>104</v>
      </c>
      <c r="P53" s="223">
        <f t="shared" si="3"/>
        <v>0.52261306532663321</v>
      </c>
      <c r="Q53" s="227">
        <f>IFERROR(VLOOKUP($B53,MMWR_TRAD_AGG_RO_COMP[],Q$1,0),"ERROR")</f>
        <v>0</v>
      </c>
      <c r="R53" s="227">
        <f>IFERROR(VLOOKUP($B53,MMWR_TRAD_AGG_RO_COMP[],R$1,0),"ERROR")</f>
        <v>0</v>
      </c>
      <c r="S53" s="201">
        <f>IFERROR(VLOOKUP($B53,MMWR_APP_RO[],S$1,0),"ERROR")</f>
        <v>1307</v>
      </c>
      <c r="T53" s="28"/>
    </row>
    <row r="54" spans="1:20" x14ac:dyDescent="0.2">
      <c r="A54" s="28"/>
      <c r="B54" s="108" t="s">
        <v>52</v>
      </c>
      <c r="C54" s="219">
        <f>IFERROR(VLOOKUP($B54,MMWR_TRAD_AGG_RO_COMP[],C$1,0),"ERROR")</f>
        <v>6070</v>
      </c>
      <c r="D54" s="220">
        <f>IFERROR(VLOOKUP($B54,MMWR_TRAD_AGG_RO_COMP[],D$1,0),"ERROR")</f>
        <v>446.29176276769999</v>
      </c>
      <c r="E54" s="221">
        <f>IFERROR(VLOOKUP($B54,MMWR_TRAD_AGG_RO_COMP[],E$1,0),"ERROR")</f>
        <v>10812</v>
      </c>
      <c r="F54" s="222">
        <f>IFERROR(VLOOKUP($B54,MMWR_TRAD_AGG_RO_COMP[],F$1,0),"ERROR")</f>
        <v>2052</v>
      </c>
      <c r="G54" s="223">
        <f t="shared" si="0"/>
        <v>0.18978912319644839</v>
      </c>
      <c r="H54" s="224">
        <f>IFERROR(VLOOKUP($B54,MMWR_TRAD_AGG_RO_COMP[],H$1,0),"ERROR")</f>
        <v>10590</v>
      </c>
      <c r="I54" s="222">
        <f>IFERROR(VLOOKUP($B54,MMWR_TRAD_AGG_RO_COMP[],I$1,0),"ERROR")</f>
        <v>5455</v>
      </c>
      <c r="J54" s="223">
        <f t="shared" si="1"/>
        <v>0.51510859301227574</v>
      </c>
      <c r="K54" s="225">
        <f>IFERROR(VLOOKUP($B54,MMWR_TRAD_AGG_RO_COMP[],K$1,0),"ERROR")</f>
        <v>1005</v>
      </c>
      <c r="L54" s="226">
        <f>IFERROR(VLOOKUP($B54,MMWR_TRAD_AGG_RO_COMP[],L$1,0),"ERROR")</f>
        <v>860</v>
      </c>
      <c r="M54" s="223">
        <f t="shared" si="2"/>
        <v>0.85572139303482586</v>
      </c>
      <c r="N54" s="225">
        <f>IFERROR(VLOOKUP($B54,MMWR_TRAD_AGG_RO_COMP[],N$1,0),"ERROR")</f>
        <v>3977</v>
      </c>
      <c r="O54" s="226">
        <f>IFERROR(VLOOKUP($B54,MMWR_TRAD_AGG_RO_COMP[],O$1,0),"ERROR")</f>
        <v>3291</v>
      </c>
      <c r="P54" s="223">
        <f t="shared" si="3"/>
        <v>0.82750817198893634</v>
      </c>
      <c r="Q54" s="227">
        <f>IFERROR(VLOOKUP($B54,MMWR_TRAD_AGG_RO_COMP[],Q$1,0),"ERROR")</f>
        <v>4</v>
      </c>
      <c r="R54" s="227">
        <f>IFERROR(VLOOKUP($B54,MMWR_TRAD_AGG_RO_COMP[],R$1,0),"ERROR")</f>
        <v>35</v>
      </c>
      <c r="S54" s="201">
        <f>IFERROR(VLOOKUP($B54,MMWR_APP_RO[],S$1,0),"ERROR")</f>
        <v>4910</v>
      </c>
      <c r="T54" s="28"/>
    </row>
    <row r="55" spans="1:20" x14ac:dyDescent="0.2">
      <c r="A55" s="28"/>
      <c r="B55" s="108" t="s">
        <v>55</v>
      </c>
      <c r="C55" s="219">
        <f>IFERROR(VLOOKUP($B55,MMWR_TRAD_AGG_RO_COMP[],C$1,0),"ERROR")</f>
        <v>484</v>
      </c>
      <c r="D55" s="220">
        <f>IFERROR(VLOOKUP($B55,MMWR_TRAD_AGG_RO_COMP[],D$1,0),"ERROR")</f>
        <v>190.7438016529</v>
      </c>
      <c r="E55" s="221">
        <f>IFERROR(VLOOKUP($B55,MMWR_TRAD_AGG_RO_COMP[],E$1,0),"ERROR")</f>
        <v>827</v>
      </c>
      <c r="F55" s="222">
        <f>IFERROR(VLOOKUP($B55,MMWR_TRAD_AGG_RO_COMP[],F$1,0),"ERROR")</f>
        <v>241</v>
      </c>
      <c r="G55" s="223">
        <f t="shared" si="0"/>
        <v>0.2914147521160822</v>
      </c>
      <c r="H55" s="224">
        <f>IFERROR(VLOOKUP($B55,MMWR_TRAD_AGG_RO_COMP[],H$1,0),"ERROR")</f>
        <v>823</v>
      </c>
      <c r="I55" s="222">
        <f>IFERROR(VLOOKUP($B55,MMWR_TRAD_AGG_RO_COMP[],I$1,0),"ERROR")</f>
        <v>335</v>
      </c>
      <c r="J55" s="223">
        <f t="shared" si="1"/>
        <v>0.40704738760631837</v>
      </c>
      <c r="K55" s="225">
        <f>IFERROR(VLOOKUP($B55,MMWR_TRAD_AGG_RO_COMP[],K$1,0),"ERROR")</f>
        <v>382</v>
      </c>
      <c r="L55" s="226">
        <f>IFERROR(VLOOKUP($B55,MMWR_TRAD_AGG_RO_COMP[],L$1,0),"ERROR")</f>
        <v>297</v>
      </c>
      <c r="M55" s="223">
        <f t="shared" si="2"/>
        <v>0.77748691099476441</v>
      </c>
      <c r="N55" s="225">
        <f>IFERROR(VLOOKUP($B55,MMWR_TRAD_AGG_RO_COMP[],N$1,0),"ERROR")</f>
        <v>258</v>
      </c>
      <c r="O55" s="226">
        <f>IFERROR(VLOOKUP($B55,MMWR_TRAD_AGG_RO_COMP[],O$1,0),"ERROR")</f>
        <v>128</v>
      </c>
      <c r="P55" s="223">
        <f t="shared" si="3"/>
        <v>0.49612403100775193</v>
      </c>
      <c r="Q55" s="227">
        <f>IFERROR(VLOOKUP($B55,MMWR_TRAD_AGG_RO_COMP[],Q$1,0),"ERROR")</f>
        <v>470</v>
      </c>
      <c r="R55" s="227">
        <f>IFERROR(VLOOKUP($B55,MMWR_TRAD_AGG_RO_COMP[],R$1,0),"ERROR")</f>
        <v>159</v>
      </c>
      <c r="S55" s="201">
        <f>IFERROR(VLOOKUP($B55,MMWR_APP_RO[],S$1,0),"ERROR")</f>
        <v>821</v>
      </c>
      <c r="T55" s="28"/>
    </row>
    <row r="56" spans="1:20" x14ac:dyDescent="0.2">
      <c r="A56" s="28"/>
      <c r="B56" s="108" t="s">
        <v>62</v>
      </c>
      <c r="C56" s="219">
        <f>IFERROR(VLOOKUP($B56,MMWR_TRAD_AGG_RO_COMP[],C$1,0),"ERROR")</f>
        <v>7130</v>
      </c>
      <c r="D56" s="220">
        <f>IFERROR(VLOOKUP($B56,MMWR_TRAD_AGG_RO_COMP[],D$1,0),"ERROR")</f>
        <v>455.08765778399999</v>
      </c>
      <c r="E56" s="221">
        <f>IFERROR(VLOOKUP($B56,MMWR_TRAD_AGG_RO_COMP[],E$1,0),"ERROR")</f>
        <v>11360</v>
      </c>
      <c r="F56" s="222">
        <f>IFERROR(VLOOKUP($B56,MMWR_TRAD_AGG_RO_COMP[],F$1,0),"ERROR")</f>
        <v>2772</v>
      </c>
      <c r="G56" s="223">
        <f t="shared" si="0"/>
        <v>0.24401408450704226</v>
      </c>
      <c r="H56" s="224">
        <f>IFERROR(VLOOKUP($B56,MMWR_TRAD_AGG_RO_COMP[],H$1,0),"ERROR")</f>
        <v>12869</v>
      </c>
      <c r="I56" s="222">
        <f>IFERROR(VLOOKUP($B56,MMWR_TRAD_AGG_RO_COMP[],I$1,0),"ERROR")</f>
        <v>8067</v>
      </c>
      <c r="J56" s="223">
        <f t="shared" si="1"/>
        <v>0.626855233506877</v>
      </c>
      <c r="K56" s="225">
        <f>IFERROR(VLOOKUP($B56,MMWR_TRAD_AGG_RO_COMP[],K$1,0),"ERROR")</f>
        <v>3765</v>
      </c>
      <c r="L56" s="226">
        <f>IFERROR(VLOOKUP($B56,MMWR_TRAD_AGG_RO_COMP[],L$1,0),"ERROR")</f>
        <v>3435</v>
      </c>
      <c r="M56" s="223">
        <f t="shared" si="2"/>
        <v>0.91235059760956172</v>
      </c>
      <c r="N56" s="225">
        <f>IFERROR(VLOOKUP($B56,MMWR_TRAD_AGG_RO_COMP[],N$1,0),"ERROR")</f>
        <v>2652</v>
      </c>
      <c r="O56" s="226">
        <f>IFERROR(VLOOKUP($B56,MMWR_TRAD_AGG_RO_COMP[],O$1,0),"ERROR")</f>
        <v>2118</v>
      </c>
      <c r="P56" s="223">
        <f t="shared" si="3"/>
        <v>0.79864253393665163</v>
      </c>
      <c r="Q56" s="227">
        <f>IFERROR(VLOOKUP($B56,MMWR_TRAD_AGG_RO_COMP[],Q$1,0),"ERROR")</f>
        <v>0</v>
      </c>
      <c r="R56" s="227">
        <f>IFERROR(VLOOKUP($B56,MMWR_TRAD_AGG_RO_COMP[],R$1,0),"ERROR")</f>
        <v>47</v>
      </c>
      <c r="S56" s="201">
        <f>IFERROR(VLOOKUP($B56,MMWR_APP_RO[],S$1,0),"ERROR")</f>
        <v>8270</v>
      </c>
      <c r="T56" s="28"/>
    </row>
    <row r="57" spans="1:20" x14ac:dyDescent="0.2">
      <c r="A57" s="28"/>
      <c r="B57" s="108" t="s">
        <v>64</v>
      </c>
      <c r="C57" s="219">
        <f>IFERROR(VLOOKUP($B57,MMWR_TRAD_AGG_RO_COMP[],C$1,0),"ERROR")</f>
        <v>2920</v>
      </c>
      <c r="D57" s="220">
        <f>IFERROR(VLOOKUP($B57,MMWR_TRAD_AGG_RO_COMP[],D$1,0),"ERROR")</f>
        <v>252.1688356164</v>
      </c>
      <c r="E57" s="221">
        <f>IFERROR(VLOOKUP($B57,MMWR_TRAD_AGG_RO_COMP[],E$1,0),"ERROR")</f>
        <v>4861</v>
      </c>
      <c r="F57" s="222">
        <f>IFERROR(VLOOKUP($B57,MMWR_TRAD_AGG_RO_COMP[],F$1,0),"ERROR")</f>
        <v>673</v>
      </c>
      <c r="G57" s="223">
        <f t="shared" si="0"/>
        <v>0.13844887883151616</v>
      </c>
      <c r="H57" s="224">
        <f>IFERROR(VLOOKUP($B57,MMWR_TRAD_AGG_RO_COMP[],H$1,0),"ERROR")</f>
        <v>5724</v>
      </c>
      <c r="I57" s="222">
        <f>IFERROR(VLOOKUP($B57,MMWR_TRAD_AGG_RO_COMP[],I$1,0),"ERROR")</f>
        <v>1963</v>
      </c>
      <c r="J57" s="223">
        <f t="shared" si="1"/>
        <v>0.34294199860237595</v>
      </c>
      <c r="K57" s="225">
        <f>IFERROR(VLOOKUP($B57,MMWR_TRAD_AGG_RO_COMP[],K$1,0),"ERROR")</f>
        <v>1152</v>
      </c>
      <c r="L57" s="226">
        <f>IFERROR(VLOOKUP($B57,MMWR_TRAD_AGG_RO_COMP[],L$1,0),"ERROR")</f>
        <v>723</v>
      </c>
      <c r="M57" s="223">
        <f t="shared" si="2"/>
        <v>0.62760416666666663</v>
      </c>
      <c r="N57" s="225">
        <f>IFERROR(VLOOKUP($B57,MMWR_TRAD_AGG_RO_COMP[],N$1,0),"ERROR")</f>
        <v>1255</v>
      </c>
      <c r="O57" s="226">
        <f>IFERROR(VLOOKUP($B57,MMWR_TRAD_AGG_RO_COMP[],O$1,0),"ERROR")</f>
        <v>766</v>
      </c>
      <c r="P57" s="223">
        <f t="shared" si="3"/>
        <v>0.61035856573705183</v>
      </c>
      <c r="Q57" s="227">
        <f>IFERROR(VLOOKUP($B57,MMWR_TRAD_AGG_RO_COMP[],Q$1,0),"ERROR")</f>
        <v>0</v>
      </c>
      <c r="R57" s="227">
        <f>IFERROR(VLOOKUP($B57,MMWR_TRAD_AGG_RO_COMP[],R$1,0),"ERROR")</f>
        <v>82</v>
      </c>
      <c r="S57" s="201">
        <f>IFERROR(VLOOKUP($B57,MMWR_APP_RO[],S$1,0),"ERROR")</f>
        <v>6761</v>
      </c>
      <c r="T57" s="28"/>
    </row>
    <row r="58" spans="1:20" x14ac:dyDescent="0.2">
      <c r="A58" s="28"/>
      <c r="B58" s="108" t="s">
        <v>66</v>
      </c>
      <c r="C58" s="219">
        <f>IFERROR(VLOOKUP($B58,MMWR_TRAD_AGG_RO_COMP[],C$1,0),"ERROR")</f>
        <v>5384</v>
      </c>
      <c r="D58" s="220">
        <f>IFERROR(VLOOKUP($B58,MMWR_TRAD_AGG_RO_COMP[],D$1,0),"ERROR")</f>
        <v>391.28491827639999</v>
      </c>
      <c r="E58" s="221">
        <f>IFERROR(VLOOKUP($B58,MMWR_TRAD_AGG_RO_COMP[],E$1,0),"ERROR")</f>
        <v>4732</v>
      </c>
      <c r="F58" s="222">
        <f>IFERROR(VLOOKUP($B58,MMWR_TRAD_AGG_RO_COMP[],F$1,0),"ERROR")</f>
        <v>918</v>
      </c>
      <c r="G58" s="223">
        <f t="shared" si="0"/>
        <v>0.19399830938292476</v>
      </c>
      <c r="H58" s="224">
        <f>IFERROR(VLOOKUP($B58,MMWR_TRAD_AGG_RO_COMP[],H$1,0),"ERROR")</f>
        <v>8130</v>
      </c>
      <c r="I58" s="222">
        <f>IFERROR(VLOOKUP($B58,MMWR_TRAD_AGG_RO_COMP[],I$1,0),"ERROR")</f>
        <v>4618</v>
      </c>
      <c r="J58" s="223">
        <f t="shared" si="1"/>
        <v>0.56801968019680193</v>
      </c>
      <c r="K58" s="225">
        <f>IFERROR(VLOOKUP($B58,MMWR_TRAD_AGG_RO_COMP[],K$1,0),"ERROR")</f>
        <v>3201</v>
      </c>
      <c r="L58" s="226">
        <f>IFERROR(VLOOKUP($B58,MMWR_TRAD_AGG_RO_COMP[],L$1,0),"ERROR")</f>
        <v>2791</v>
      </c>
      <c r="M58" s="223">
        <f t="shared" si="2"/>
        <v>0.87191502655420183</v>
      </c>
      <c r="N58" s="225">
        <f>IFERROR(VLOOKUP($B58,MMWR_TRAD_AGG_RO_COMP[],N$1,0),"ERROR")</f>
        <v>2221</v>
      </c>
      <c r="O58" s="226">
        <f>IFERROR(VLOOKUP($B58,MMWR_TRAD_AGG_RO_COMP[],O$1,0),"ERROR")</f>
        <v>1666</v>
      </c>
      <c r="P58" s="223">
        <f t="shared" si="3"/>
        <v>0.75011256190904996</v>
      </c>
      <c r="Q58" s="227">
        <f>IFERROR(VLOOKUP($B58,MMWR_TRAD_AGG_RO_COMP[],Q$1,0),"ERROR")</f>
        <v>0</v>
      </c>
      <c r="R58" s="227">
        <f>IFERROR(VLOOKUP($B58,MMWR_TRAD_AGG_RO_COMP[],R$1,0),"ERROR")</f>
        <v>106</v>
      </c>
      <c r="S58" s="201">
        <f>IFERROR(VLOOKUP($B58,MMWR_APP_RO[],S$1,0),"ERROR")</f>
        <v>4671</v>
      </c>
      <c r="T58" s="28"/>
    </row>
    <row r="59" spans="1:20" x14ac:dyDescent="0.2">
      <c r="A59" s="28"/>
      <c r="B59" s="108" t="s">
        <v>68</v>
      </c>
      <c r="C59" s="219">
        <f>IFERROR(VLOOKUP($B59,MMWR_TRAD_AGG_RO_COMP[],C$1,0),"ERROR")</f>
        <v>2418</v>
      </c>
      <c r="D59" s="220">
        <f>IFERROR(VLOOKUP($B59,MMWR_TRAD_AGG_RO_COMP[],D$1,0),"ERROR")</f>
        <v>451.93134822169998</v>
      </c>
      <c r="E59" s="221">
        <f>IFERROR(VLOOKUP($B59,MMWR_TRAD_AGG_RO_COMP[],E$1,0),"ERROR")</f>
        <v>3717</v>
      </c>
      <c r="F59" s="222">
        <f>IFERROR(VLOOKUP($B59,MMWR_TRAD_AGG_RO_COMP[],F$1,0),"ERROR")</f>
        <v>956</v>
      </c>
      <c r="G59" s="223">
        <f t="shared" si="0"/>
        <v>0.25719666397632501</v>
      </c>
      <c r="H59" s="224">
        <f>IFERROR(VLOOKUP($B59,MMWR_TRAD_AGG_RO_COMP[],H$1,0),"ERROR")</f>
        <v>3747</v>
      </c>
      <c r="I59" s="222">
        <f>IFERROR(VLOOKUP($B59,MMWR_TRAD_AGG_RO_COMP[],I$1,0),"ERROR")</f>
        <v>2198</v>
      </c>
      <c r="J59" s="223">
        <f t="shared" si="1"/>
        <v>0.58660261542567382</v>
      </c>
      <c r="K59" s="225">
        <f>IFERROR(VLOOKUP($B59,MMWR_TRAD_AGG_RO_COMP[],K$1,0),"ERROR")</f>
        <v>616</v>
      </c>
      <c r="L59" s="226">
        <f>IFERROR(VLOOKUP($B59,MMWR_TRAD_AGG_RO_COMP[],L$1,0),"ERROR")</f>
        <v>480</v>
      </c>
      <c r="M59" s="223">
        <f t="shared" si="2"/>
        <v>0.77922077922077926</v>
      </c>
      <c r="N59" s="225">
        <f>IFERROR(VLOOKUP($B59,MMWR_TRAD_AGG_RO_COMP[],N$1,0),"ERROR")</f>
        <v>1172</v>
      </c>
      <c r="O59" s="226">
        <f>IFERROR(VLOOKUP($B59,MMWR_TRAD_AGG_RO_COMP[],O$1,0),"ERROR")</f>
        <v>962</v>
      </c>
      <c r="P59" s="223">
        <f t="shared" si="3"/>
        <v>0.82081911262798635</v>
      </c>
      <c r="Q59" s="227">
        <f>IFERROR(VLOOKUP($B59,MMWR_TRAD_AGG_RO_COMP[],Q$1,0),"ERROR")</f>
        <v>0</v>
      </c>
      <c r="R59" s="227">
        <f>IFERROR(VLOOKUP($B59,MMWR_TRAD_AGG_RO_COMP[],R$1,0),"ERROR")</f>
        <v>126</v>
      </c>
      <c r="S59" s="201">
        <f>IFERROR(VLOOKUP($B59,MMWR_APP_RO[],S$1,0),"ERROR")</f>
        <v>2946</v>
      </c>
      <c r="T59" s="28"/>
    </row>
    <row r="60" spans="1:20" x14ac:dyDescent="0.2">
      <c r="A60" s="28"/>
      <c r="B60" s="108" t="s">
        <v>71</v>
      </c>
      <c r="C60" s="219">
        <f>IFERROR(VLOOKUP($B60,MMWR_TRAD_AGG_RO_COMP[],C$1,0),"ERROR")</f>
        <v>4865</v>
      </c>
      <c r="D60" s="220">
        <f>IFERROR(VLOOKUP($B60,MMWR_TRAD_AGG_RO_COMP[],D$1,0),"ERROR")</f>
        <v>340.62816032889998</v>
      </c>
      <c r="E60" s="221">
        <f>IFERROR(VLOOKUP($B60,MMWR_TRAD_AGG_RO_COMP[],E$1,0),"ERROR")</f>
        <v>12047</v>
      </c>
      <c r="F60" s="222">
        <f>IFERROR(VLOOKUP($B60,MMWR_TRAD_AGG_RO_COMP[],F$1,0),"ERROR")</f>
        <v>1984</v>
      </c>
      <c r="G60" s="223">
        <f t="shared" si="0"/>
        <v>0.16468830414211008</v>
      </c>
      <c r="H60" s="224">
        <f>IFERROR(VLOOKUP($B60,MMWR_TRAD_AGG_RO_COMP[],H$1,0),"ERROR")</f>
        <v>18231</v>
      </c>
      <c r="I60" s="222">
        <f>IFERROR(VLOOKUP($B60,MMWR_TRAD_AGG_RO_COMP[],I$1,0),"ERROR")</f>
        <v>8473</v>
      </c>
      <c r="J60" s="223">
        <f t="shared" si="1"/>
        <v>0.46475783006966159</v>
      </c>
      <c r="K60" s="225">
        <f>IFERROR(VLOOKUP($B60,MMWR_TRAD_AGG_RO_COMP[],K$1,0),"ERROR")</f>
        <v>6588</v>
      </c>
      <c r="L60" s="226">
        <f>IFERROR(VLOOKUP($B60,MMWR_TRAD_AGG_RO_COMP[],L$1,0),"ERROR")</f>
        <v>4545</v>
      </c>
      <c r="M60" s="223">
        <f t="shared" si="2"/>
        <v>0.68989071038251371</v>
      </c>
      <c r="N60" s="225">
        <f>IFERROR(VLOOKUP($B60,MMWR_TRAD_AGG_RO_COMP[],N$1,0),"ERROR")</f>
        <v>2312</v>
      </c>
      <c r="O60" s="226">
        <f>IFERROR(VLOOKUP($B60,MMWR_TRAD_AGG_RO_COMP[],O$1,0),"ERROR")</f>
        <v>1623</v>
      </c>
      <c r="P60" s="223">
        <f t="shared" si="3"/>
        <v>0.70198961937716264</v>
      </c>
      <c r="Q60" s="227">
        <f>IFERROR(VLOOKUP($B60,MMWR_TRAD_AGG_RO_COMP[],Q$1,0),"ERROR")</f>
        <v>0</v>
      </c>
      <c r="R60" s="227">
        <f>IFERROR(VLOOKUP($B60,MMWR_TRAD_AGG_RO_COMP[],R$1,0),"ERROR")</f>
        <v>61</v>
      </c>
      <c r="S60" s="201">
        <f>IFERROR(VLOOKUP($B60,MMWR_APP_RO[],S$1,0),"ERROR")</f>
        <v>3779</v>
      </c>
      <c r="T60" s="28"/>
    </row>
    <row r="61" spans="1:20" x14ac:dyDescent="0.2">
      <c r="A61" s="28"/>
      <c r="B61" s="116" t="s">
        <v>73</v>
      </c>
      <c r="C61" s="228">
        <f>IFERROR(VLOOKUP($B61,MMWR_TRAD_AGG_RO_COMP[],C$1,0),"ERROR")</f>
        <v>9457</v>
      </c>
      <c r="D61" s="229">
        <f>IFERROR(VLOOKUP($B61,MMWR_TRAD_AGG_RO_COMP[],D$1,0),"ERROR")</f>
        <v>387.52046103420003</v>
      </c>
      <c r="E61" s="230">
        <f>IFERROR(VLOOKUP($B61,MMWR_TRAD_AGG_RO_COMP[],E$1,0),"ERROR")</f>
        <v>7804</v>
      </c>
      <c r="F61" s="231">
        <f>IFERROR(VLOOKUP($B61,MMWR_TRAD_AGG_RO_COMP[],F$1,0),"ERROR")</f>
        <v>1381</v>
      </c>
      <c r="G61" s="232">
        <f t="shared" si="0"/>
        <v>0.17696053305996925</v>
      </c>
      <c r="H61" s="233">
        <f>IFERROR(VLOOKUP($B61,MMWR_TRAD_AGG_RO_COMP[],H$1,0),"ERROR")</f>
        <v>18263</v>
      </c>
      <c r="I61" s="231">
        <f>IFERROR(VLOOKUP($B61,MMWR_TRAD_AGG_RO_COMP[],I$1,0),"ERROR")</f>
        <v>9709</v>
      </c>
      <c r="J61" s="232">
        <f t="shared" si="1"/>
        <v>0.53162131084706787</v>
      </c>
      <c r="K61" s="234">
        <f>IFERROR(VLOOKUP($B61,MMWR_TRAD_AGG_RO_COMP[],K$1,0),"ERROR")</f>
        <v>4627</v>
      </c>
      <c r="L61" s="235">
        <f>IFERROR(VLOOKUP($B61,MMWR_TRAD_AGG_RO_COMP[],L$1,0),"ERROR")</f>
        <v>3109</v>
      </c>
      <c r="M61" s="232">
        <f t="shared" si="2"/>
        <v>0.67192565377134217</v>
      </c>
      <c r="N61" s="234">
        <f>IFERROR(VLOOKUP($B61,MMWR_TRAD_AGG_RO_COMP[],N$1,0),"ERROR")</f>
        <v>4291</v>
      </c>
      <c r="O61" s="235">
        <f>IFERROR(VLOOKUP($B61,MMWR_TRAD_AGG_RO_COMP[],O$1,0),"ERROR")</f>
        <v>3511</v>
      </c>
      <c r="P61" s="232">
        <f t="shared" si="3"/>
        <v>0.81822419016546255</v>
      </c>
      <c r="Q61" s="236">
        <f>IFERROR(VLOOKUP($B61,MMWR_TRAD_AGG_RO_COMP[],Q$1,0),"ERROR")</f>
        <v>5</v>
      </c>
      <c r="R61" s="236">
        <f>IFERROR(VLOOKUP($B61,MMWR_TRAD_AGG_RO_COMP[],R$1,0),"ERROR")</f>
        <v>159</v>
      </c>
      <c r="S61" s="201">
        <f>IFERROR(VLOOKUP($B61,MMWR_APP_RO[],S$1,0),"ERROR")</f>
        <v>4618</v>
      </c>
      <c r="T61" s="28"/>
    </row>
    <row r="62" spans="1:20" x14ac:dyDescent="0.2">
      <c r="A62" s="28"/>
      <c r="B62" s="101" t="s">
        <v>379</v>
      </c>
      <c r="C62" s="212">
        <f>IFERROR(VLOOKUP($B62,MMWR_TRAD_AGG_DISTRICT_COMP[],C$1,0),"ERROR")</f>
        <v>55529</v>
      </c>
      <c r="D62" s="197">
        <f>IFERROR(VLOOKUP($B62,MMWR_TRAD_AGG_DISTRICT_COMP[],D$1,0),"ERROR")</f>
        <v>352.99866736299998</v>
      </c>
      <c r="E62" s="213">
        <f>IFERROR(VLOOKUP($B62,MMWR_TRAD_AGG_DISTRICT_COMP[],E$1,0),"ERROR")</f>
        <v>73694</v>
      </c>
      <c r="F62" s="218">
        <f>IFERROR(VLOOKUP($B62,MMWR_TRAD_AGG_DISTRICT_COMP[],F$1,0),"ERROR")</f>
        <v>17572</v>
      </c>
      <c r="G62" s="214">
        <f t="shared" si="0"/>
        <v>0.23844546367411187</v>
      </c>
      <c r="H62" s="218">
        <f>IFERROR(VLOOKUP($B62,MMWR_TRAD_AGG_DISTRICT_COMP[],H$1,0),"ERROR")</f>
        <v>96306</v>
      </c>
      <c r="I62" s="218">
        <f>IFERROR(VLOOKUP($B62,MMWR_TRAD_AGG_DISTRICT_COMP[],I$1,0),"ERROR")</f>
        <v>52163</v>
      </c>
      <c r="J62" s="214">
        <f t="shared" si="1"/>
        <v>0.54163811185180566</v>
      </c>
      <c r="K62" s="212">
        <f>IFERROR(VLOOKUP($B62,MMWR_TRAD_AGG_DISTRICT_COMP[],K$1,0),"ERROR")</f>
        <v>27646</v>
      </c>
      <c r="L62" s="212">
        <f>IFERROR(VLOOKUP($B62,MMWR_TRAD_AGG_DISTRICT_COMP[],L$1,0),"ERROR")</f>
        <v>23100</v>
      </c>
      <c r="M62" s="214">
        <f t="shared" si="2"/>
        <v>0.83556391521377416</v>
      </c>
      <c r="N62" s="212">
        <f>IFERROR(VLOOKUP($B62,MMWR_TRAD_AGG_DISTRICT_COMP[],N$1,0),"ERROR")</f>
        <v>26661</v>
      </c>
      <c r="O62" s="212">
        <f>IFERROR(VLOOKUP($B62,MMWR_TRAD_AGG_DISTRICT_COMP[],O$1,0),"ERROR")</f>
        <v>19921</v>
      </c>
      <c r="P62" s="214">
        <f t="shared" si="3"/>
        <v>0.74719627920933196</v>
      </c>
      <c r="Q62" s="212">
        <f>IFERROR(VLOOKUP($B62,MMWR_TRAD_AGG_DISTRICT_COMP[],Q$1,0),"ERROR")</f>
        <v>178</v>
      </c>
      <c r="R62" s="215">
        <f>IFERROR(VLOOKUP($B62,MMWR_TRAD_AGG_DISTRICT_COMP[],R$1,0),"ERROR")</f>
        <v>1388</v>
      </c>
      <c r="S62" s="215">
        <f>IFERROR(VLOOKUP($B62,MMWR_APP_RO[],S$1,0),"ERROR")</f>
        <v>84849</v>
      </c>
      <c r="T62" s="28"/>
    </row>
    <row r="63" spans="1:20" x14ac:dyDescent="0.2">
      <c r="A63" s="28"/>
      <c r="B63" s="108" t="s">
        <v>25</v>
      </c>
      <c r="C63" s="219">
        <f>IFERROR(VLOOKUP($B63,MMWR_TRAD_AGG_RO_COMP[],C$1,0),"ERROR")</f>
        <v>11716</v>
      </c>
      <c r="D63" s="220">
        <f>IFERROR(VLOOKUP($B63,MMWR_TRAD_AGG_RO_COMP[],D$1,0),"ERROR")</f>
        <v>364.07331853879998</v>
      </c>
      <c r="E63" s="221">
        <f>IFERROR(VLOOKUP($B63,MMWR_TRAD_AGG_RO_COMP[],E$1,0),"ERROR")</f>
        <v>17632</v>
      </c>
      <c r="F63" s="222">
        <f>IFERROR(VLOOKUP($B63,MMWR_TRAD_AGG_RO_COMP[],F$1,0),"ERROR")</f>
        <v>4927</v>
      </c>
      <c r="G63" s="223">
        <f t="shared" si="0"/>
        <v>0.27943511796733211</v>
      </c>
      <c r="H63" s="224">
        <f>IFERROR(VLOOKUP($B63,MMWR_TRAD_AGG_RO_COMP[],H$1,0),"ERROR")</f>
        <v>21328</v>
      </c>
      <c r="I63" s="222">
        <f>IFERROR(VLOOKUP($B63,MMWR_TRAD_AGG_RO_COMP[],I$1,0),"ERROR")</f>
        <v>11992</v>
      </c>
      <c r="J63" s="223">
        <f t="shared" si="1"/>
        <v>0.56226556639159786</v>
      </c>
      <c r="K63" s="225">
        <f>IFERROR(VLOOKUP($B63,MMWR_TRAD_AGG_RO_COMP[],K$1,0),"ERROR")</f>
        <v>8390</v>
      </c>
      <c r="L63" s="226">
        <f>IFERROR(VLOOKUP($B63,MMWR_TRAD_AGG_RO_COMP[],L$1,0),"ERROR")</f>
        <v>6758</v>
      </c>
      <c r="M63" s="223">
        <f t="shared" si="2"/>
        <v>0.8054827175208582</v>
      </c>
      <c r="N63" s="225">
        <f>IFERROR(VLOOKUP($B63,MMWR_TRAD_AGG_RO_COMP[],N$1,0),"ERROR")</f>
        <v>6192</v>
      </c>
      <c r="O63" s="226">
        <f>IFERROR(VLOOKUP($B63,MMWR_TRAD_AGG_RO_COMP[],O$1,0),"ERROR")</f>
        <v>5285</v>
      </c>
      <c r="P63" s="223">
        <f t="shared" si="3"/>
        <v>0.85352067183462532</v>
      </c>
      <c r="Q63" s="227">
        <f>IFERROR(VLOOKUP($B63,MMWR_TRAD_AGG_RO_COMP[],Q$1,0),"ERROR")</f>
        <v>78</v>
      </c>
      <c r="R63" s="227">
        <f>IFERROR(VLOOKUP($B63,MMWR_TRAD_AGG_RO_COMP[],R$1,0),"ERROR")</f>
        <v>25</v>
      </c>
      <c r="S63" s="201">
        <f>IFERROR(VLOOKUP($B63,MMWR_APP_RO[],S$1,0),"ERROR")</f>
        <v>18083</v>
      </c>
      <c r="T63" s="28"/>
    </row>
    <row r="64" spans="1:20" x14ac:dyDescent="0.2">
      <c r="A64" s="28"/>
      <c r="B64" s="108" t="s">
        <v>39</v>
      </c>
      <c r="C64" s="219">
        <f>IFERROR(VLOOKUP($B64,MMWR_TRAD_AGG_RO_COMP[],C$1,0),"ERROR")</f>
        <v>7484</v>
      </c>
      <c r="D64" s="220">
        <f>IFERROR(VLOOKUP($B64,MMWR_TRAD_AGG_RO_COMP[],D$1,0),"ERROR")</f>
        <v>327.62359700690001</v>
      </c>
      <c r="E64" s="221">
        <f>IFERROR(VLOOKUP($B64,MMWR_TRAD_AGG_RO_COMP[],E$1,0),"ERROR")</f>
        <v>9548</v>
      </c>
      <c r="F64" s="222">
        <f>IFERROR(VLOOKUP($B64,MMWR_TRAD_AGG_RO_COMP[],F$1,0),"ERROR")</f>
        <v>2439</v>
      </c>
      <c r="G64" s="223">
        <f t="shared" si="0"/>
        <v>0.25544616673648934</v>
      </c>
      <c r="H64" s="224">
        <f>IFERROR(VLOOKUP($B64,MMWR_TRAD_AGG_RO_COMP[],H$1,0),"ERROR")</f>
        <v>14071</v>
      </c>
      <c r="I64" s="222">
        <f>IFERROR(VLOOKUP($B64,MMWR_TRAD_AGG_RO_COMP[],I$1,0),"ERROR")</f>
        <v>8173</v>
      </c>
      <c r="J64" s="223">
        <f t="shared" si="1"/>
        <v>0.58084002558453562</v>
      </c>
      <c r="K64" s="225">
        <f>IFERROR(VLOOKUP($B64,MMWR_TRAD_AGG_RO_COMP[],K$1,0),"ERROR")</f>
        <v>2856</v>
      </c>
      <c r="L64" s="226">
        <f>IFERROR(VLOOKUP($B64,MMWR_TRAD_AGG_RO_COMP[],L$1,0),"ERROR")</f>
        <v>2235</v>
      </c>
      <c r="M64" s="223">
        <f t="shared" si="2"/>
        <v>0.78256302521008403</v>
      </c>
      <c r="N64" s="225">
        <f>IFERROR(VLOOKUP($B64,MMWR_TRAD_AGG_RO_COMP[],N$1,0),"ERROR")</f>
        <v>1575</v>
      </c>
      <c r="O64" s="226">
        <f>IFERROR(VLOOKUP($B64,MMWR_TRAD_AGG_RO_COMP[],O$1,0),"ERROR")</f>
        <v>1053</v>
      </c>
      <c r="P64" s="223">
        <f t="shared" si="3"/>
        <v>0.66857142857142859</v>
      </c>
      <c r="Q64" s="227">
        <f>IFERROR(VLOOKUP($B64,MMWR_TRAD_AGG_RO_COMP[],Q$1,0),"ERROR")</f>
        <v>1</v>
      </c>
      <c r="R64" s="227">
        <f>IFERROR(VLOOKUP($B64,MMWR_TRAD_AGG_RO_COMP[],R$1,0),"ERROR")</f>
        <v>59</v>
      </c>
      <c r="S64" s="201">
        <f>IFERROR(VLOOKUP($B64,MMWR_APP_RO[],S$1,0),"ERROR")</f>
        <v>13049</v>
      </c>
      <c r="T64" s="28"/>
    </row>
    <row r="65" spans="1:20" x14ac:dyDescent="0.2">
      <c r="A65" s="28"/>
      <c r="B65" s="108" t="s">
        <v>53</v>
      </c>
      <c r="C65" s="219">
        <f>IFERROR(VLOOKUP($B65,MMWR_TRAD_AGG_RO_COMP[],C$1,0),"ERROR")</f>
        <v>6536</v>
      </c>
      <c r="D65" s="220">
        <f>IFERROR(VLOOKUP($B65,MMWR_TRAD_AGG_RO_COMP[],D$1,0),"ERROR")</f>
        <v>474.40253977970002</v>
      </c>
      <c r="E65" s="221">
        <f>IFERROR(VLOOKUP($B65,MMWR_TRAD_AGG_RO_COMP[],E$1,0),"ERROR")</f>
        <v>4168</v>
      </c>
      <c r="F65" s="222">
        <f>IFERROR(VLOOKUP($B65,MMWR_TRAD_AGG_RO_COMP[],F$1,0),"ERROR")</f>
        <v>964</v>
      </c>
      <c r="G65" s="223">
        <f t="shared" si="0"/>
        <v>0.23128598848368523</v>
      </c>
      <c r="H65" s="224">
        <f>IFERROR(VLOOKUP($B65,MMWR_TRAD_AGG_RO_COMP[],H$1,0),"ERROR")</f>
        <v>10231</v>
      </c>
      <c r="I65" s="222">
        <f>IFERROR(VLOOKUP($B65,MMWR_TRAD_AGG_RO_COMP[],I$1,0),"ERROR")</f>
        <v>6785</v>
      </c>
      <c r="J65" s="223">
        <f t="shared" si="1"/>
        <v>0.66318052976248654</v>
      </c>
      <c r="K65" s="225">
        <f>IFERROR(VLOOKUP($B65,MMWR_TRAD_AGG_RO_COMP[],K$1,0),"ERROR")</f>
        <v>3323</v>
      </c>
      <c r="L65" s="226">
        <f>IFERROR(VLOOKUP($B65,MMWR_TRAD_AGG_RO_COMP[],L$1,0),"ERROR")</f>
        <v>3119</v>
      </c>
      <c r="M65" s="223">
        <f t="shared" si="2"/>
        <v>0.93860969003912131</v>
      </c>
      <c r="N65" s="225">
        <f>IFERROR(VLOOKUP($B65,MMWR_TRAD_AGG_RO_COMP[],N$1,0),"ERROR")</f>
        <v>1680</v>
      </c>
      <c r="O65" s="226">
        <f>IFERROR(VLOOKUP($B65,MMWR_TRAD_AGG_RO_COMP[],O$1,0),"ERROR")</f>
        <v>1272</v>
      </c>
      <c r="P65" s="223">
        <f t="shared" si="3"/>
        <v>0.75714285714285712</v>
      </c>
      <c r="Q65" s="227">
        <f>IFERROR(VLOOKUP($B65,MMWR_TRAD_AGG_RO_COMP[],Q$1,0),"ERROR")</f>
        <v>90</v>
      </c>
      <c r="R65" s="227">
        <f>IFERROR(VLOOKUP($B65,MMWR_TRAD_AGG_RO_COMP[],R$1,0),"ERROR")</f>
        <v>314</v>
      </c>
      <c r="S65" s="201">
        <f>IFERROR(VLOOKUP($B65,MMWR_APP_RO[],S$1,0),"ERROR")</f>
        <v>2949</v>
      </c>
      <c r="T65" s="28"/>
    </row>
    <row r="66" spans="1:20" x14ac:dyDescent="0.2">
      <c r="A66" s="28"/>
      <c r="B66" s="108" t="s">
        <v>57</v>
      </c>
      <c r="C66" s="219">
        <f>IFERROR(VLOOKUP($B66,MMWR_TRAD_AGG_RO_COMP[],C$1,0),"ERROR")</f>
        <v>10034</v>
      </c>
      <c r="D66" s="220">
        <f>IFERROR(VLOOKUP($B66,MMWR_TRAD_AGG_RO_COMP[],D$1,0),"ERROR")</f>
        <v>349.75154474790003</v>
      </c>
      <c r="E66" s="221">
        <f>IFERROR(VLOOKUP($B66,MMWR_TRAD_AGG_RO_COMP[],E$1,0),"ERROR")</f>
        <v>7569</v>
      </c>
      <c r="F66" s="222">
        <f>IFERROR(VLOOKUP($B66,MMWR_TRAD_AGG_RO_COMP[],F$1,0),"ERROR")</f>
        <v>1873</v>
      </c>
      <c r="G66" s="223">
        <f t="shared" si="0"/>
        <v>0.24745673140441274</v>
      </c>
      <c r="H66" s="224">
        <f>IFERROR(VLOOKUP($B66,MMWR_TRAD_AGG_RO_COMP[],H$1,0),"ERROR")</f>
        <v>13952</v>
      </c>
      <c r="I66" s="222">
        <f>IFERROR(VLOOKUP($B66,MMWR_TRAD_AGG_RO_COMP[],I$1,0),"ERROR")</f>
        <v>8120</v>
      </c>
      <c r="J66" s="223">
        <f t="shared" si="1"/>
        <v>0.58199541284403666</v>
      </c>
      <c r="K66" s="225">
        <f>IFERROR(VLOOKUP($B66,MMWR_TRAD_AGG_RO_COMP[],K$1,0),"ERROR")</f>
        <v>4096</v>
      </c>
      <c r="L66" s="226">
        <f>IFERROR(VLOOKUP($B66,MMWR_TRAD_AGG_RO_COMP[],L$1,0),"ERROR")</f>
        <v>3737</v>
      </c>
      <c r="M66" s="223">
        <f t="shared" si="2"/>
        <v>0.912353515625</v>
      </c>
      <c r="N66" s="225">
        <f>IFERROR(VLOOKUP($B66,MMWR_TRAD_AGG_RO_COMP[],N$1,0),"ERROR")</f>
        <v>1655</v>
      </c>
      <c r="O66" s="226">
        <f>IFERROR(VLOOKUP($B66,MMWR_TRAD_AGG_RO_COMP[],O$1,0),"ERROR")</f>
        <v>624</v>
      </c>
      <c r="P66" s="223">
        <f t="shared" si="3"/>
        <v>0.37703927492447131</v>
      </c>
      <c r="Q66" s="227">
        <f>IFERROR(VLOOKUP($B66,MMWR_TRAD_AGG_RO_COMP[],Q$1,0),"ERROR")</f>
        <v>1</v>
      </c>
      <c r="R66" s="227">
        <f>IFERROR(VLOOKUP($B66,MMWR_TRAD_AGG_RO_COMP[],R$1,0),"ERROR")</f>
        <v>415</v>
      </c>
      <c r="S66" s="201">
        <f>IFERROR(VLOOKUP($B66,MMWR_APP_RO[],S$1,0),"ERROR")</f>
        <v>9361</v>
      </c>
      <c r="T66" s="28"/>
    </row>
    <row r="67" spans="1:20" x14ac:dyDescent="0.2">
      <c r="A67" s="28"/>
      <c r="B67" s="108" t="s">
        <v>58</v>
      </c>
      <c r="C67" s="219">
        <f>IFERROR(VLOOKUP($B67,MMWR_TRAD_AGG_RO_COMP[],C$1,0),"ERROR")</f>
        <v>3284</v>
      </c>
      <c r="D67" s="220">
        <f>IFERROR(VLOOKUP($B67,MMWR_TRAD_AGG_RO_COMP[],D$1,0),"ERROR")</f>
        <v>288.79902557859998</v>
      </c>
      <c r="E67" s="221">
        <f>IFERROR(VLOOKUP($B67,MMWR_TRAD_AGG_RO_COMP[],E$1,0),"ERROR")</f>
        <v>9178</v>
      </c>
      <c r="F67" s="222">
        <f>IFERROR(VLOOKUP($B67,MMWR_TRAD_AGG_RO_COMP[],F$1,0),"ERROR")</f>
        <v>1492</v>
      </c>
      <c r="G67" s="223">
        <f t="shared" si="0"/>
        <v>0.16256264981477447</v>
      </c>
      <c r="H67" s="224">
        <f>IFERROR(VLOOKUP($B67,MMWR_TRAD_AGG_RO_COMP[],H$1,0),"ERROR")</f>
        <v>8578</v>
      </c>
      <c r="I67" s="222">
        <f>IFERROR(VLOOKUP($B67,MMWR_TRAD_AGG_RO_COMP[],I$1,0),"ERROR")</f>
        <v>2943</v>
      </c>
      <c r="J67" s="223">
        <f t="shared" si="1"/>
        <v>0.34308696665889482</v>
      </c>
      <c r="K67" s="225">
        <f>IFERROR(VLOOKUP($B67,MMWR_TRAD_AGG_RO_COMP[],K$1,0),"ERROR")</f>
        <v>3087</v>
      </c>
      <c r="L67" s="226">
        <f>IFERROR(VLOOKUP($B67,MMWR_TRAD_AGG_RO_COMP[],L$1,0),"ERROR")</f>
        <v>2474</v>
      </c>
      <c r="M67" s="223">
        <f t="shared" si="2"/>
        <v>0.80142533203757693</v>
      </c>
      <c r="N67" s="225">
        <f>IFERROR(VLOOKUP($B67,MMWR_TRAD_AGG_RO_COMP[],N$1,0),"ERROR")</f>
        <v>1450</v>
      </c>
      <c r="O67" s="226">
        <f>IFERROR(VLOOKUP($B67,MMWR_TRAD_AGG_RO_COMP[],O$1,0),"ERROR")</f>
        <v>1095</v>
      </c>
      <c r="P67" s="223">
        <f t="shared" si="3"/>
        <v>0.7551724137931034</v>
      </c>
      <c r="Q67" s="227">
        <f>IFERROR(VLOOKUP($B67,MMWR_TRAD_AGG_RO_COMP[],Q$1,0),"ERROR")</f>
        <v>1</v>
      </c>
      <c r="R67" s="227">
        <f>IFERROR(VLOOKUP($B67,MMWR_TRAD_AGG_RO_COMP[],R$1,0),"ERROR")</f>
        <v>284</v>
      </c>
      <c r="S67" s="201">
        <f>IFERROR(VLOOKUP($B67,MMWR_APP_RO[],S$1,0),"ERROR")</f>
        <v>6790</v>
      </c>
      <c r="T67" s="28"/>
    </row>
    <row r="68" spans="1:20" x14ac:dyDescent="0.2">
      <c r="A68" s="28"/>
      <c r="B68" s="108" t="s">
        <v>72</v>
      </c>
      <c r="C68" s="219">
        <f>IFERROR(VLOOKUP($B68,MMWR_TRAD_AGG_RO_COMP[],C$1,0),"ERROR")</f>
        <v>658</v>
      </c>
      <c r="D68" s="220">
        <f>IFERROR(VLOOKUP($B68,MMWR_TRAD_AGG_RO_COMP[],D$1,0),"ERROR")</f>
        <v>265.42401215810003</v>
      </c>
      <c r="E68" s="221">
        <f>IFERROR(VLOOKUP($B68,MMWR_TRAD_AGG_RO_COMP[],E$1,0),"ERROR")</f>
        <v>1767</v>
      </c>
      <c r="F68" s="222">
        <f>IFERROR(VLOOKUP($B68,MMWR_TRAD_AGG_RO_COMP[],F$1,0),"ERROR")</f>
        <v>584</v>
      </c>
      <c r="G68" s="223">
        <f t="shared" si="0"/>
        <v>0.33050367855121676</v>
      </c>
      <c r="H68" s="224">
        <f>IFERROR(VLOOKUP($B68,MMWR_TRAD_AGG_RO_COMP[],H$1,0),"ERROR")</f>
        <v>3442</v>
      </c>
      <c r="I68" s="222">
        <f>IFERROR(VLOOKUP($B68,MMWR_TRAD_AGG_RO_COMP[],I$1,0),"ERROR")</f>
        <v>1002</v>
      </c>
      <c r="J68" s="223">
        <f t="shared" si="1"/>
        <v>0.29110981987216733</v>
      </c>
      <c r="K68" s="225">
        <f>IFERROR(VLOOKUP($B68,MMWR_TRAD_AGG_RO_COMP[],K$1,0),"ERROR")</f>
        <v>855</v>
      </c>
      <c r="L68" s="226">
        <f>IFERROR(VLOOKUP($B68,MMWR_TRAD_AGG_RO_COMP[],L$1,0),"ERROR")</f>
        <v>773</v>
      </c>
      <c r="M68" s="223">
        <f t="shared" si="2"/>
        <v>0.90409356725146195</v>
      </c>
      <c r="N68" s="225">
        <f>IFERROR(VLOOKUP($B68,MMWR_TRAD_AGG_RO_COMP[],N$1,0),"ERROR")</f>
        <v>780</v>
      </c>
      <c r="O68" s="226">
        <f>IFERROR(VLOOKUP($B68,MMWR_TRAD_AGG_RO_COMP[],O$1,0),"ERROR")</f>
        <v>659</v>
      </c>
      <c r="P68" s="223">
        <f t="shared" si="3"/>
        <v>0.84487179487179487</v>
      </c>
      <c r="Q68" s="227">
        <f>IFERROR(VLOOKUP($B68,MMWR_TRAD_AGG_RO_COMP[],Q$1,0),"ERROR")</f>
        <v>0</v>
      </c>
      <c r="R68" s="227">
        <f>IFERROR(VLOOKUP($B68,MMWR_TRAD_AGG_RO_COMP[],R$1,0),"ERROR")</f>
        <v>2</v>
      </c>
      <c r="S68" s="201">
        <f>IFERROR(VLOOKUP($B68,MMWR_APP_RO[],S$1,0),"ERROR")</f>
        <v>5011</v>
      </c>
      <c r="T68" s="28"/>
    </row>
    <row r="69" spans="1:20" x14ac:dyDescent="0.2">
      <c r="A69" s="28"/>
      <c r="B69" s="116" t="s">
        <v>77</v>
      </c>
      <c r="C69" s="228">
        <f>IFERROR(VLOOKUP($B69,MMWR_TRAD_AGG_RO_COMP[],C$1,0),"ERROR")</f>
        <v>15817</v>
      </c>
      <c r="D69" s="229">
        <f>IFERROR(VLOOKUP($B69,MMWR_TRAD_AGG_RO_COMP[],D$1,0),"ERROR")</f>
        <v>325.66719352600001</v>
      </c>
      <c r="E69" s="230">
        <f>IFERROR(VLOOKUP($B69,MMWR_TRAD_AGG_RO_COMP[],E$1,0),"ERROR")</f>
        <v>23832</v>
      </c>
      <c r="F69" s="231">
        <f>IFERROR(VLOOKUP($B69,MMWR_TRAD_AGG_RO_COMP[],F$1,0),"ERROR")</f>
        <v>5293</v>
      </c>
      <c r="G69" s="232">
        <f t="shared" si="0"/>
        <v>0.22209634105404499</v>
      </c>
      <c r="H69" s="233">
        <f>IFERROR(VLOOKUP($B69,MMWR_TRAD_AGG_RO_COMP[],H$1,0),"ERROR")</f>
        <v>24704</v>
      </c>
      <c r="I69" s="231">
        <f>IFERROR(VLOOKUP($B69,MMWR_TRAD_AGG_RO_COMP[],I$1,0),"ERROR")</f>
        <v>13148</v>
      </c>
      <c r="J69" s="232">
        <f t="shared" si="1"/>
        <v>0.53222150259067358</v>
      </c>
      <c r="K69" s="234">
        <f>IFERROR(VLOOKUP($B69,MMWR_TRAD_AGG_RO_COMP[],K$1,0),"ERROR")</f>
        <v>5039</v>
      </c>
      <c r="L69" s="235">
        <f>IFERROR(VLOOKUP($B69,MMWR_TRAD_AGG_RO_COMP[],L$1,0),"ERROR")</f>
        <v>4004</v>
      </c>
      <c r="M69" s="232">
        <f t="shared" si="2"/>
        <v>0.79460210359198258</v>
      </c>
      <c r="N69" s="234">
        <f>IFERROR(VLOOKUP($B69,MMWR_TRAD_AGG_RO_COMP[],N$1,0),"ERROR")</f>
        <v>13329</v>
      </c>
      <c r="O69" s="235">
        <f>IFERROR(VLOOKUP($B69,MMWR_TRAD_AGG_RO_COMP[],O$1,0),"ERROR")</f>
        <v>9933</v>
      </c>
      <c r="P69" s="232">
        <f t="shared" si="3"/>
        <v>0.74521719558856625</v>
      </c>
      <c r="Q69" s="236">
        <f>IFERROR(VLOOKUP($B69,MMWR_TRAD_AGG_RO_COMP[],Q$1,0),"ERROR")</f>
        <v>7</v>
      </c>
      <c r="R69" s="236">
        <f>IFERROR(VLOOKUP($B69,MMWR_TRAD_AGG_RO_COMP[],R$1,0),"ERROR")</f>
        <v>289</v>
      </c>
      <c r="S69" s="201">
        <f>IFERROR(VLOOKUP($B69,MMWR_APP_RO[],S$1,0),"ERROR")</f>
        <v>29606</v>
      </c>
      <c r="T69" s="28"/>
    </row>
    <row r="70" spans="1:20" x14ac:dyDescent="0.2">
      <c r="A70" s="28"/>
      <c r="B70" s="101" t="s">
        <v>8</v>
      </c>
      <c r="C70" s="212">
        <f>IFERROR(VLOOKUP($B70,MMWR_TRAD_AGG_RO_COMP[],C$1,0),"ERROR")</f>
        <v>85</v>
      </c>
      <c r="D70" s="197">
        <f>IFERROR(VLOOKUP($B70,MMWR_TRAD_AGG_RO_COMP[],D$1,0),"ERROR")</f>
        <v>377.67058823529999</v>
      </c>
      <c r="E70" s="213">
        <f>IFERROR(VLOOKUP($B70,MMWR_TRAD_AGG_RO_COMP[],E$1,0),"ERROR")</f>
        <v>109</v>
      </c>
      <c r="F70" s="218">
        <f>IFERROR(VLOOKUP($B70,MMWR_TRAD_AGG_RO_COMP[],F$1,0),"ERROR")</f>
        <v>93</v>
      </c>
      <c r="G70" s="214">
        <f>IFERROR(F70/E70,"0%")</f>
        <v>0.85321100917431192</v>
      </c>
      <c r="H70" s="218">
        <f>IFERROR(VLOOKUP($B70,MMWR_TRAD_AGG_RO_COMP[],H$1,0),"ERROR")</f>
        <v>240</v>
      </c>
      <c r="I70" s="218">
        <f>IFERROR(VLOOKUP($B70,MMWR_TRAD_AGG_RO_COMP[],I$1,0),"ERROR")</f>
        <v>98</v>
      </c>
      <c r="J70" s="214">
        <f>IFERROR(I70/H70,"0%")</f>
        <v>0.40833333333333333</v>
      </c>
      <c r="K70" s="212">
        <f>IFERROR(VLOOKUP($B70,MMWR_TRAD_AGG_RO_COMP[],K$1,0),"ERROR")</f>
        <v>93</v>
      </c>
      <c r="L70" s="212">
        <f>IFERROR(VLOOKUP($B70,MMWR_TRAD_AGG_RO_COMP[],L$1,0),"ERROR")</f>
        <v>46</v>
      </c>
      <c r="M70" s="214">
        <f>IFERROR(L70/K70,"0%")</f>
        <v>0.4946236559139785</v>
      </c>
      <c r="N70" s="212">
        <f>IFERROR(VLOOKUP($B70,MMWR_TRAD_AGG_RO_COMP[],N$1,0),"ERROR")</f>
        <v>65295</v>
      </c>
      <c r="O70" s="212">
        <f>IFERROR(VLOOKUP($B70,MMWR_TRAD_AGG_RO_COMP[],O$1,0),"ERROR")</f>
        <v>39554</v>
      </c>
      <c r="P70" s="214">
        <f>IFERROR(O70/N70,"0%")</f>
        <v>0.60577379584960567</v>
      </c>
      <c r="Q70" s="212">
        <f>IFERROR(VLOOKUP($B70,MMWR_TRAD_AGG_RO_COMP[],Q$1,0),"ERROR")</f>
        <v>0</v>
      </c>
      <c r="R70" s="215">
        <f>IFERROR(VLOOKUP($B70,MMWR_TRAD_AGG_RO_COMP[],R$1,0),"ERROR")</f>
        <v>1</v>
      </c>
      <c r="S70" s="215">
        <f>IFERROR(VLOOKUP($B70,MMWR_APP_RO[],S$1,0),"ERROR")</f>
        <v>11342</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486</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487</v>
      </c>
      <c r="T74" s="28"/>
    </row>
    <row r="75" spans="1:20" x14ac:dyDescent="0.2">
      <c r="A75" s="25"/>
      <c r="B75" s="101" t="s">
        <v>461</v>
      </c>
      <c r="C75" s="237">
        <f>IFERROR(VLOOKUP($B75,MMWR_TRAD_AGG_RO_PEN[],C$1,0),"ERROR")</f>
        <v>22744</v>
      </c>
      <c r="D75" s="238">
        <f>IFERROR(VLOOKUP($B75,MMWR_TRAD_AGG_RO_PEN[],D$1,0),"ERROR")</f>
        <v>89.885596201200002</v>
      </c>
      <c r="E75" s="237">
        <f>IFERROR(VLOOKUP($B75,MMWR_TRAD_AGG_RO_PEN[],E$1,0),"ERROR")</f>
        <v>30233</v>
      </c>
      <c r="F75" s="237">
        <f>IFERROR(VLOOKUP($B75,MMWR_TRAD_AGG_RO_PEN[],F$1,0),"ERROR")</f>
        <v>4053</v>
      </c>
      <c r="G75" s="239">
        <f>IFERROR(F75/E75,"0%")</f>
        <v>0.13405880990970132</v>
      </c>
      <c r="H75" s="237">
        <f>IFERROR(VLOOKUP($B75,MMWR_TRAD_AGG_RO_PEN[],H$1,0),"ERROR")</f>
        <v>32882</v>
      </c>
      <c r="I75" s="237">
        <f>IFERROR(VLOOKUP($B75,MMWR_TRAD_AGG_RO_PEN[],I$1,0),"ERROR")</f>
        <v>7794</v>
      </c>
      <c r="J75" s="239">
        <f>IFERROR(I75/H75,"0%")</f>
        <v>0.23702937777507452</v>
      </c>
      <c r="K75" s="237">
        <f>IFERROR(VLOOKUP($B75,MMWR_TRAD_AGG_RO_PEN[],K$1,0),"ERROR")</f>
        <v>250</v>
      </c>
      <c r="L75" s="237">
        <f>IFERROR(VLOOKUP($B75,MMWR_TRAD_AGG_RO_PEN[],L$1,0),"ERROR")</f>
        <v>237</v>
      </c>
      <c r="M75" s="239">
        <f>IFERROR(L75/K75,"0%")</f>
        <v>0.94799999999999995</v>
      </c>
      <c r="N75" s="237">
        <f>IFERROR(VLOOKUP($B75,MMWR_TRAD_AGG_RO_PEN[],N$1,0),"ERROR")</f>
        <v>1690</v>
      </c>
      <c r="O75" s="237">
        <f>IFERROR(VLOOKUP($B75,MMWR_TRAD_AGG_RO_PEN[],O$1,0),"ERROR")</f>
        <v>538</v>
      </c>
      <c r="P75" s="239">
        <f>IFERROR(O75/N75,"0%")</f>
        <v>0.31834319526627219</v>
      </c>
      <c r="Q75" s="237">
        <f>IFERROR(VLOOKUP($B75,MMWR_TRAD_AGG_RO_PEN[],Q$1,0),"ERROR")</f>
        <v>12112</v>
      </c>
      <c r="R75" s="240">
        <f>IFERROR(VLOOKUP($B75,MMWR_TRAD_AGG_RO_PEN[],R$1,0),"ERROR")</f>
        <v>5965</v>
      </c>
      <c r="S75" s="240">
        <f>IFERROR(VLOOKUP($B75,MMWR_APP_RO[],S$1,0),"ERROR")</f>
        <v>5094</v>
      </c>
      <c r="T75" s="28"/>
    </row>
    <row r="76" spans="1:20" x14ac:dyDescent="0.2">
      <c r="A76" s="107"/>
      <c r="B76" s="122" t="s">
        <v>210</v>
      </c>
      <c r="C76" s="241">
        <f>IFERROR(VLOOKUP($B76,MMWR_TRAD_AGG_RO_PEN[],C$1,0),"ERROR")</f>
        <v>13933</v>
      </c>
      <c r="D76" s="242">
        <f>IFERROR(VLOOKUP($B76,MMWR_TRAD_AGG_RO_PEN[],D$1,0),"ERROR")</f>
        <v>106.0531830905</v>
      </c>
      <c r="E76" s="241">
        <f>IFERROR(VLOOKUP($B76,MMWR_TRAD_AGG_RO_PEN[],E$1,0),"ERROR")</f>
        <v>16170</v>
      </c>
      <c r="F76" s="241">
        <f>IFERROR(VLOOKUP($B76,MMWR_TRAD_AGG_RO_PEN[],F$1,0),"ERROR")</f>
        <v>2827</v>
      </c>
      <c r="G76" s="223">
        <f>IFERROR(F76/E76,"0%")</f>
        <v>0.17482993197278912</v>
      </c>
      <c r="H76" s="241">
        <f>IFERROR(VLOOKUP($B76,MMWR_TRAD_AGG_RO_PEN[],H$1,0),"ERROR")</f>
        <v>16721</v>
      </c>
      <c r="I76" s="241">
        <f>IFERROR(VLOOKUP($B76,MMWR_TRAD_AGG_RO_PEN[],I$1,0),"ERROR")</f>
        <v>5570</v>
      </c>
      <c r="J76" s="223">
        <f>IFERROR(I76/H76,"0%")</f>
        <v>0.33311404820285867</v>
      </c>
      <c r="K76" s="241">
        <f>IFERROR(VLOOKUP($B76,MMWR_TRAD_AGG_RO_PEN[],K$1,0),"ERROR")</f>
        <v>17</v>
      </c>
      <c r="L76" s="241">
        <f>IFERROR(VLOOKUP($B76,MMWR_TRAD_AGG_RO_PEN[],L$1,0),"ERROR")</f>
        <v>16</v>
      </c>
      <c r="M76" s="223">
        <f>IFERROR(L76/K76,"0%")</f>
        <v>0.94117647058823528</v>
      </c>
      <c r="N76" s="241">
        <f>IFERROR(VLOOKUP($B76,MMWR_TRAD_AGG_RO_PEN[],N$1,0),"ERROR")</f>
        <v>621</v>
      </c>
      <c r="O76" s="241">
        <f>IFERROR(VLOOKUP($B76,MMWR_TRAD_AGG_RO_PEN[],O$1,0),"ERROR")</f>
        <v>189</v>
      </c>
      <c r="P76" s="223">
        <f>IFERROR(O76/N76,"0%")</f>
        <v>0.30434782608695654</v>
      </c>
      <c r="Q76" s="241">
        <f>IFERROR(VLOOKUP($B76,MMWR_TRAD_AGG_RO_PEN[],Q$1,0),"ERROR")</f>
        <v>2152</v>
      </c>
      <c r="R76" s="241">
        <f>IFERROR(VLOOKUP($B76,MMWR_TRAD_AGG_RO_PEN[],R$1,0),"ERROR")</f>
        <v>3192</v>
      </c>
      <c r="S76" s="243">
        <f>IFERROR(VLOOKUP($B76,MMWR_APP_RO[],S$1,0),"ERROR")</f>
        <v>1775</v>
      </c>
      <c r="T76" s="28"/>
    </row>
    <row r="77" spans="1:20" x14ac:dyDescent="0.2">
      <c r="A77" s="107"/>
      <c r="B77" s="122" t="s">
        <v>209</v>
      </c>
      <c r="C77" s="241">
        <f>IFERROR(VLOOKUP($B77,MMWR_TRAD_AGG_RO_PEN[],C$1,0),"ERROR")</f>
        <v>4551</v>
      </c>
      <c r="D77" s="242">
        <f>IFERROR(VLOOKUP($B77,MMWR_TRAD_AGG_RO_PEN[],D$1,0),"ERROR")</f>
        <v>62.299274884600003</v>
      </c>
      <c r="E77" s="241">
        <f>IFERROR(VLOOKUP($B77,MMWR_TRAD_AGG_RO_PEN[],E$1,0),"ERROR")</f>
        <v>7719</v>
      </c>
      <c r="F77" s="241">
        <f>IFERROR(VLOOKUP($B77,MMWR_TRAD_AGG_RO_PEN[],F$1,0),"ERROR")</f>
        <v>859</v>
      </c>
      <c r="G77" s="223">
        <f>IFERROR(F77/E77,"0%")</f>
        <v>0.11128384505764996</v>
      </c>
      <c r="H77" s="241">
        <f>IFERROR(VLOOKUP($B77,MMWR_TRAD_AGG_RO_PEN[],H$1,0),"ERROR")</f>
        <v>6743</v>
      </c>
      <c r="I77" s="241">
        <f>IFERROR(VLOOKUP($B77,MMWR_TRAD_AGG_RO_PEN[],I$1,0),"ERROR")</f>
        <v>541</v>
      </c>
      <c r="J77" s="223">
        <f>IFERROR(I77/H77,"0%")</f>
        <v>8.0231351030698506E-2</v>
      </c>
      <c r="K77" s="241">
        <f>IFERROR(VLOOKUP($B77,MMWR_TRAD_AGG_RO_PEN[],K$1,0),"ERROR")</f>
        <v>3</v>
      </c>
      <c r="L77" s="241">
        <f>IFERROR(VLOOKUP($B77,MMWR_TRAD_AGG_RO_PEN[],L$1,0),"ERROR")</f>
        <v>3</v>
      </c>
      <c r="M77" s="223">
        <f>IFERROR(L77/K77,"0%")</f>
        <v>1</v>
      </c>
      <c r="N77" s="241">
        <f>IFERROR(VLOOKUP($B77,MMWR_TRAD_AGG_RO_PEN[],N$1,0),"ERROR")</f>
        <v>583</v>
      </c>
      <c r="O77" s="241">
        <f>IFERROR(VLOOKUP($B77,MMWR_TRAD_AGG_RO_PEN[],O$1,0),"ERROR")</f>
        <v>132</v>
      </c>
      <c r="P77" s="223">
        <f>IFERROR(O77/N77,"0%")</f>
        <v>0.22641509433962265</v>
      </c>
      <c r="Q77" s="241">
        <f>IFERROR(VLOOKUP($B77,MMWR_TRAD_AGG_RO_PEN[],Q$1,0),"ERROR")</f>
        <v>1157</v>
      </c>
      <c r="R77" s="241">
        <f>IFERROR(VLOOKUP($B77,MMWR_TRAD_AGG_RO_PEN[],R$1,0),"ERROR")</f>
        <v>946</v>
      </c>
      <c r="S77" s="243">
        <f>IFERROR(VLOOKUP($B77,MMWR_APP_RO[],S$1,0),"ERROR")</f>
        <v>2316</v>
      </c>
      <c r="T77" s="28"/>
    </row>
    <row r="78" spans="1:20" x14ac:dyDescent="0.2">
      <c r="A78" s="107"/>
      <c r="B78" s="122" t="s">
        <v>212</v>
      </c>
      <c r="C78" s="241">
        <f>IFERROR(VLOOKUP($B78,MMWR_TRAD_AGG_RO_PEN[],C$1,0),"ERROR")</f>
        <v>4260</v>
      </c>
      <c r="D78" s="242">
        <f>IFERROR(VLOOKUP($B78,MMWR_TRAD_AGG_RO_PEN[],D$1,0),"ERROR")</f>
        <v>66.477699530500004</v>
      </c>
      <c r="E78" s="241">
        <f>IFERROR(VLOOKUP($B78,MMWR_TRAD_AGG_RO_PEN[],E$1,0),"ERROR")</f>
        <v>5971</v>
      </c>
      <c r="F78" s="241">
        <f>IFERROR(VLOOKUP($B78,MMWR_TRAD_AGG_RO_PEN[],F$1,0),"ERROR")</f>
        <v>215</v>
      </c>
      <c r="G78" s="223">
        <f>IFERROR(F78/E78,"0%")</f>
        <v>3.6007368949924637E-2</v>
      </c>
      <c r="H78" s="241">
        <f>IFERROR(VLOOKUP($B78,MMWR_TRAD_AGG_RO_PEN[],H$1,0),"ERROR")</f>
        <v>6147</v>
      </c>
      <c r="I78" s="241">
        <f>IFERROR(VLOOKUP($B78,MMWR_TRAD_AGG_RO_PEN[],I$1,0),"ERROR")</f>
        <v>531</v>
      </c>
      <c r="J78" s="223">
        <f>IFERROR(I78/H78,"0%")</f>
        <v>8.6383601756954614E-2</v>
      </c>
      <c r="K78" s="241">
        <f>IFERROR(VLOOKUP($B78,MMWR_TRAD_AGG_RO_PEN[],K$1,0),"ERROR")</f>
        <v>30</v>
      </c>
      <c r="L78" s="241">
        <f>IFERROR(VLOOKUP($B78,MMWR_TRAD_AGG_RO_PEN[],L$1,0),"ERROR")</f>
        <v>18</v>
      </c>
      <c r="M78" s="223">
        <f>IFERROR(L78/K78,"0%")</f>
        <v>0.6</v>
      </c>
      <c r="N78" s="241">
        <f>IFERROR(VLOOKUP($B78,MMWR_TRAD_AGG_RO_PEN[],N$1,0),"ERROR")</f>
        <v>304</v>
      </c>
      <c r="O78" s="241">
        <f>IFERROR(VLOOKUP($B78,MMWR_TRAD_AGG_RO_PEN[],O$1,0),"ERROR")</f>
        <v>106</v>
      </c>
      <c r="P78" s="223">
        <f>IFERROR(O78/N78,"0%")</f>
        <v>0.34868421052631576</v>
      </c>
      <c r="Q78" s="241">
        <f>IFERROR(VLOOKUP($B78,MMWR_TRAD_AGG_RO_PEN[],Q$1,0),"ERROR")</f>
        <v>8796</v>
      </c>
      <c r="R78" s="241">
        <f>IFERROR(VLOOKUP($B78,MMWR_TRAD_AGG_RO_PEN[],R$1,0),"ERROR")</f>
        <v>1827</v>
      </c>
      <c r="S78" s="243">
        <f>IFERROR(VLOOKUP($B78,MMWR_APP_RO[],S$1,0),"ERROR")</f>
        <v>1003</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373</v>
      </c>
      <c r="F79" s="218">
        <f>IFERROR(VLOOKUP($B79,MMWR_TRAD_AGG_RO_PEN[],F$1,0),"ERROR")</f>
        <v>152</v>
      </c>
      <c r="G79" s="214">
        <f>IFERROR(F79/E79,"0%")</f>
        <v>0.40750670241286863</v>
      </c>
      <c r="H79" s="218">
        <f>IFERROR(VLOOKUP($B79,MMWR_TRAD_AGG_RO_PEN[],H$1,0),"ERROR")</f>
        <v>3271</v>
      </c>
      <c r="I79" s="218">
        <f>IFERROR(VLOOKUP($B79,MMWR_TRAD_AGG_RO_PEN[],I$1,0),"ERROR")</f>
        <v>1152</v>
      </c>
      <c r="J79" s="214">
        <f>IFERROR(I79/H79,"0%")</f>
        <v>0.35218587587893613</v>
      </c>
      <c r="K79" s="218">
        <f>IFERROR(VLOOKUP($B79,MMWR_TRAD_AGG_RO_PEN[],K$1,0),"ERROR")</f>
        <v>200</v>
      </c>
      <c r="L79" s="218">
        <f>IFERROR(VLOOKUP($B79,MMWR_TRAD_AGG_RO_PEN[],L$1,0),"ERROR")</f>
        <v>200</v>
      </c>
      <c r="M79" s="214">
        <f>IFERROR(L79/K79,"0%")</f>
        <v>1</v>
      </c>
      <c r="N79" s="218">
        <f>IFERROR(VLOOKUP($B79,MMWR_TRAD_AGG_RO_PEN[],N$1,0),"ERROR")</f>
        <v>182</v>
      </c>
      <c r="O79" s="218">
        <f>IFERROR(VLOOKUP($B79,MMWR_TRAD_AGG_RO_PEN[],O$1,0),"ERROR")</f>
        <v>111</v>
      </c>
      <c r="P79" s="214">
        <f>IFERROR(O79/N79,"0%")</f>
        <v>0.60989010989010994</v>
      </c>
      <c r="Q79" s="218">
        <f>IFERROR(VLOOKUP($B79,MMWR_TRAD_AGG_RO_PEN[],Q$1,0),"ERROR")</f>
        <v>7</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JULY 30,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487</v>
      </c>
      <c r="T4" s="28"/>
    </row>
    <row r="5" spans="1:20" s="123" customFormat="1" ht="26.25" x14ac:dyDescent="0.4">
      <c r="A5" s="25"/>
      <c r="B5" s="124"/>
      <c r="C5" s="454" t="s">
        <v>485</v>
      </c>
      <c r="D5" s="455"/>
      <c r="E5" s="455"/>
      <c r="F5" s="455"/>
      <c r="G5" s="455"/>
      <c r="H5" s="455"/>
      <c r="I5" s="455"/>
      <c r="J5" s="455"/>
      <c r="K5" s="455"/>
      <c r="L5" s="455"/>
      <c r="M5" s="455"/>
      <c r="N5" s="455"/>
      <c r="O5" s="455"/>
      <c r="P5" s="455"/>
      <c r="Q5" s="455"/>
      <c r="R5" s="455"/>
      <c r="S5" s="456"/>
      <c r="T5" s="28"/>
    </row>
    <row r="6" spans="1:20" s="123" customFormat="1" x14ac:dyDescent="0.2">
      <c r="A6" s="92"/>
      <c r="B6" s="125" t="s">
        <v>460</v>
      </c>
      <c r="C6" s="94">
        <f>IFERROR(VLOOKUP($B6,MMWR_TRAD_AGG_ST_DISTRICT_COMP[],C$1,0),"ERROR")</f>
        <v>233044</v>
      </c>
      <c r="D6" s="95">
        <f>IFERROR(VLOOKUP($B6,MMWR_TRAD_AGG_ST_DISTRICT_COMP[],D$1,0),"ERROR")</f>
        <v>369.93664715680001</v>
      </c>
      <c r="E6" s="96">
        <f>IFERROR(VLOOKUP($B6,MMWR_TRAD_AGG_ST_DISTRICT_COMP[],E$1,0),"ERROR")</f>
        <v>341960</v>
      </c>
      <c r="F6" s="97">
        <f>IFERROR(VLOOKUP($B6,MMWR_TRAD_AGG_ST_DISTRICT_COMP[],F$1,0),"ERROR")</f>
        <v>72424</v>
      </c>
      <c r="G6" s="98">
        <f t="shared" ref="G6:G37" si="0">IFERROR(F6/E6,"0%")</f>
        <v>0.21179085273131359</v>
      </c>
      <c r="H6" s="96">
        <f>IFERROR(VLOOKUP($B6,MMWR_TRAD_AGG_ST_DISTRICT_COMP[],H$1,0),"ERROR")</f>
        <v>445856</v>
      </c>
      <c r="I6" s="97">
        <f>IFERROR(VLOOKUP($B6,MMWR_TRAD_AGG_ST_DISTRICT_COMP[],I$1,0),"ERROR")</f>
        <v>219512</v>
      </c>
      <c r="J6" s="99">
        <f t="shared" ref="J6:J37" si="1">IFERROR(I6/H6,"0%")</f>
        <v>0.49233833345295341</v>
      </c>
      <c r="K6" s="96">
        <f>IFERROR(VLOOKUP($B6,MMWR_TRAD_AGG_ST_DISTRICT_COMP[],K$1,0),"ERROR")</f>
        <v>129438</v>
      </c>
      <c r="L6" s="97">
        <f>IFERROR(VLOOKUP($B6,MMWR_TRAD_AGG_ST_DISTRICT_COMP[],L$1,0),"ERROR")</f>
        <v>100612</v>
      </c>
      <c r="M6" s="99">
        <f t="shared" ref="M6:M37" si="2">IFERROR(L6/K6,"0%")</f>
        <v>0.77729878397379437</v>
      </c>
      <c r="N6" s="96">
        <f>IFERROR(VLOOKUP($B6,MMWR_TRAD_AGG_ST_DISTRICT_COMP[],N$1,0),"ERROR")</f>
        <v>171360</v>
      </c>
      <c r="O6" s="97">
        <f>IFERROR(VLOOKUP($B6,MMWR_TRAD_AGG_ST_DISTRICT_COMP[],O$1,0),"ERROR")</f>
        <v>117737</v>
      </c>
      <c r="P6" s="99">
        <f t="shared" ref="P6:P37" si="3">IFERROR(O6/N6,"0%")</f>
        <v>0.68707399626517274</v>
      </c>
      <c r="Q6" s="100">
        <f>IFERROR(VLOOKUP($B6,MMWR_TRAD_AGG_ST_DISTRICT_COMP[],Q$1,0),"ERROR")</f>
        <v>23671</v>
      </c>
      <c r="R6" s="100">
        <f>IFERROR(VLOOKUP($B6,MMWR_TRAD_AGG_ST_DISTRICT_COMP[],R$1,0),"ERROR")</f>
        <v>4512</v>
      </c>
      <c r="S6" s="100">
        <f>S7+S23+S36+S46+S56+S64</f>
        <v>308287</v>
      </c>
      <c r="T6" s="28"/>
    </row>
    <row r="7" spans="1:20" s="123" customFormat="1" x14ac:dyDescent="0.2">
      <c r="A7" s="92"/>
      <c r="B7" s="126" t="s">
        <v>368</v>
      </c>
      <c r="C7" s="102">
        <f>IF(SUM(C8:C22)&lt;&gt;VLOOKUP($B7,MMWR_TRAD_AGG_ST_DISTRICT_COMP[],C$1,0),"ERROR",
VLOOKUP($B7,MMWR_TRAD_AGG_ST_DISTRICT_COMP[],C$1,0))</f>
        <v>56742</v>
      </c>
      <c r="D7" s="103">
        <f>IFERROR(VLOOKUP($B7,MMWR_TRAD_AGG_ST_DISTRICT_COMP[],D$1,0),"ERROR")</f>
        <v>393.90684149309999</v>
      </c>
      <c r="E7" s="102">
        <f>IF(SUM(E8:E22)&lt;&gt;VLOOKUP($B7,MMWR_TRAD_AGG_ST_DISTRICT_COMP[],E$1,0),"ERROR",
VLOOKUP($B7,MMWR_TRAD_AGG_ST_DISTRICT_COMP[],E$1,0))</f>
        <v>73886</v>
      </c>
      <c r="F7" s="102">
        <f>IFERROR(VLOOKUP($B7,MMWR_TRAD_AGG_ST_DISTRICT_COMP[],F$1,0),"ERROR")</f>
        <v>16435</v>
      </c>
      <c r="G7" s="104">
        <f t="shared" si="0"/>
        <v>0.2224372682240208</v>
      </c>
      <c r="H7" s="102">
        <f>IF(SUM(H8:H22)&lt;&gt;VLOOKUP($B7,MMWR_TRAD_AGG_ST_DISTRICT_COMP[],H$1,0),"ERROR",
VLOOKUP($B7,MMWR_TRAD_AGG_ST_DISTRICT_COMP[],H$1,0))</f>
        <v>103128</v>
      </c>
      <c r="I7" s="102">
        <f>IF(SUM(I8:I22)&lt;&gt;VLOOKUP($B7,MMWR_TRAD_AGG_ST_DISTRICT_COMP[],I$1,0),"ERROR",
VLOOKUP($B7,MMWR_TRAD_AGG_ST_DISTRICT_COMP[],I$1,0))</f>
        <v>51614</v>
      </c>
      <c r="J7" s="105">
        <f t="shared" si="1"/>
        <v>0.50048483438057556</v>
      </c>
      <c r="K7" s="102">
        <f>IF(SUM(K8:K22)&lt;&gt;VLOOKUP($B7,MMWR_TRAD_AGG_ST_DISTRICT_COMP[],K$1,0),"ERROR",
VLOOKUP($B7,MMWR_TRAD_AGG_ST_DISTRICT_COMP[],K$1,0))</f>
        <v>34497</v>
      </c>
      <c r="L7" s="102">
        <f>IF(SUM(L8:L22)&lt;&gt;VLOOKUP($B7,MMWR_TRAD_AGG_ST_DISTRICT_COMP[],L$1,0),"ERROR",
VLOOKUP($B7,MMWR_TRAD_AGG_ST_DISTRICT_COMP[],L$1,0))</f>
        <v>27674</v>
      </c>
      <c r="M7" s="105">
        <f t="shared" si="2"/>
        <v>0.80221468533495666</v>
      </c>
      <c r="N7" s="102">
        <f>IF(SUM(N8:N22)&lt;&gt;VLOOKUP($B7,MMWR_TRAD_AGG_ST_DISTRICT_COMP[],N$1,0),"ERROR",
VLOOKUP($B7,MMWR_TRAD_AGG_ST_DISTRICT_COMP[],N$1,0))</f>
        <v>39683</v>
      </c>
      <c r="O7" s="102">
        <f>IF(SUM(O8:O22)&lt;&gt;VLOOKUP($B7,MMWR_TRAD_AGG_ST_DISTRICT_COMP[],O$1,0),"ERROR",
VLOOKUP($B7,MMWR_TRAD_AGG_ST_DISTRICT_COMP[],O$1,0))</f>
        <v>28900</v>
      </c>
      <c r="P7" s="105">
        <f t="shared" si="3"/>
        <v>0.72827155204999627</v>
      </c>
      <c r="Q7" s="102">
        <f>IF(SUM(Q8:Q22)&lt;&gt;VLOOKUP($B7,MMWR_TRAD_AGG_ST_DISTRICT_COMP[],Q$1,0),"ERROR",
VLOOKUP($B7,MMWR_TRAD_AGG_ST_DISTRICT_COMP[],Q$1,0))</f>
        <v>9473</v>
      </c>
      <c r="R7" s="106">
        <f>IFERROR(VLOOKUP($B7,MMWR_TRAD_AGG_ST_DISTRICT_COMP[],R$1,0),"ERROR")</f>
        <v>138</v>
      </c>
      <c r="S7" s="106">
        <f>SUM(S8:S22)</f>
        <v>56729</v>
      </c>
      <c r="T7" s="28"/>
    </row>
    <row r="8" spans="1:20" s="123" customFormat="1" x14ac:dyDescent="0.2">
      <c r="A8" s="107"/>
      <c r="B8" s="127" t="s">
        <v>372</v>
      </c>
      <c r="C8" s="109">
        <f>IFERROR(VLOOKUP($B8,MMWR_TRAD_AGG_STATE_COMP[],C$1,0),"ERROR")</f>
        <v>681</v>
      </c>
      <c r="D8" s="110">
        <f>IFERROR(VLOOKUP($B8,MMWR_TRAD_AGG_STATE_COMP[],D$1,0),"ERROR")</f>
        <v>281.63289280470002</v>
      </c>
      <c r="E8" s="111">
        <f>IFERROR(VLOOKUP($B8,MMWR_TRAD_AGG_STATE_COMP[],E$1,0),"ERROR")</f>
        <v>1890</v>
      </c>
      <c r="F8" s="112">
        <f>IFERROR(VLOOKUP($B8,MMWR_TRAD_AGG_STATE_COMP[],F$1,0),"ERROR")</f>
        <v>307</v>
      </c>
      <c r="G8" s="113">
        <f t="shared" si="0"/>
        <v>0.16243386243386243</v>
      </c>
      <c r="H8" s="111">
        <f>IFERROR(VLOOKUP($B8,MMWR_TRAD_AGG_STATE_COMP[],H$1,0),"ERROR")</f>
        <v>2554</v>
      </c>
      <c r="I8" s="112">
        <f>IFERROR(VLOOKUP($B8,MMWR_TRAD_AGG_STATE_COMP[],I$1,0),"ERROR")</f>
        <v>761</v>
      </c>
      <c r="J8" s="114">
        <f t="shared" si="1"/>
        <v>0.29796397807361003</v>
      </c>
      <c r="K8" s="111">
        <f>IFERROR(VLOOKUP($B8,MMWR_TRAD_AGG_STATE_COMP[],K$1,0),"ERROR")</f>
        <v>592</v>
      </c>
      <c r="L8" s="112">
        <f>IFERROR(VLOOKUP($B8,MMWR_TRAD_AGG_STATE_COMP[],L$1,0),"ERROR")</f>
        <v>366</v>
      </c>
      <c r="M8" s="114">
        <f t="shared" si="2"/>
        <v>0.6182432432432432</v>
      </c>
      <c r="N8" s="111">
        <f>IFERROR(VLOOKUP($B8,MMWR_TRAD_AGG_STATE_COMP[],N$1,0),"ERROR")</f>
        <v>1115</v>
      </c>
      <c r="O8" s="112">
        <f>IFERROR(VLOOKUP($B8,MMWR_TRAD_AGG_STATE_COMP[],O$1,0),"ERROR")</f>
        <v>848</v>
      </c>
      <c r="P8" s="114">
        <f t="shared" si="3"/>
        <v>0.76053811659192827</v>
      </c>
      <c r="Q8" s="115">
        <f>IFERROR(VLOOKUP($B8,MMWR_TRAD_AGG_STATE_COMP[],Q$1,0),"ERROR")</f>
        <v>310</v>
      </c>
      <c r="R8" s="115">
        <f>IFERROR(VLOOKUP($B8,MMWR_TRAD_AGG_STATE_COMP[],R$1,0),"ERROR")</f>
        <v>5</v>
      </c>
      <c r="S8" s="115">
        <f>IFERROR(VLOOKUP($B8,MMWR_APP_STATE_COMP[],S$1,0),"ERROR")</f>
        <v>1394</v>
      </c>
      <c r="T8" s="28"/>
    </row>
    <row r="9" spans="1:20" s="123" customFormat="1" x14ac:dyDescent="0.2">
      <c r="A9" s="107"/>
      <c r="B9" s="127" t="s">
        <v>422</v>
      </c>
      <c r="C9" s="109">
        <f>IFERROR(VLOOKUP($B9,MMWR_TRAD_AGG_STATE_COMP[],C$1,0),"ERROR")</f>
        <v>681</v>
      </c>
      <c r="D9" s="110">
        <f>IFERROR(VLOOKUP($B9,MMWR_TRAD_AGG_STATE_COMP[],D$1,0),"ERROR")</f>
        <v>399.08370044050002</v>
      </c>
      <c r="E9" s="111">
        <f>IFERROR(VLOOKUP($B9,MMWR_TRAD_AGG_STATE_COMP[],E$1,0),"ERROR")</f>
        <v>1022</v>
      </c>
      <c r="F9" s="112">
        <f>IFERROR(VLOOKUP($B9,MMWR_TRAD_AGG_STATE_COMP[],F$1,0),"ERROR")</f>
        <v>213</v>
      </c>
      <c r="G9" s="113">
        <f t="shared" si="0"/>
        <v>0.20841487279843443</v>
      </c>
      <c r="H9" s="111">
        <f>IFERROR(VLOOKUP($B9,MMWR_TRAD_AGG_STATE_COMP[],H$1,0),"ERROR")</f>
        <v>1297</v>
      </c>
      <c r="I9" s="112">
        <f>IFERROR(VLOOKUP($B9,MMWR_TRAD_AGG_STATE_COMP[],I$1,0),"ERROR")</f>
        <v>606</v>
      </c>
      <c r="J9" s="114">
        <f t="shared" si="1"/>
        <v>0.46723207401696221</v>
      </c>
      <c r="K9" s="111">
        <f>IFERROR(VLOOKUP($B9,MMWR_TRAD_AGG_STATE_COMP[],K$1,0),"ERROR")</f>
        <v>262</v>
      </c>
      <c r="L9" s="112">
        <f>IFERROR(VLOOKUP($B9,MMWR_TRAD_AGG_STATE_COMP[],L$1,0),"ERROR")</f>
        <v>184</v>
      </c>
      <c r="M9" s="114">
        <f t="shared" si="2"/>
        <v>0.70229007633587781</v>
      </c>
      <c r="N9" s="111">
        <f>IFERROR(VLOOKUP($B9,MMWR_TRAD_AGG_STATE_COMP[],N$1,0),"ERROR")</f>
        <v>400</v>
      </c>
      <c r="O9" s="112">
        <f>IFERROR(VLOOKUP($B9,MMWR_TRAD_AGG_STATE_COMP[],O$1,0),"ERROR")</f>
        <v>246</v>
      </c>
      <c r="P9" s="114">
        <f t="shared" si="3"/>
        <v>0.61499999999999999</v>
      </c>
      <c r="Q9" s="115">
        <f>IFERROR(VLOOKUP($B9,MMWR_TRAD_AGG_STATE_COMP[],Q$1,0),"ERROR")</f>
        <v>77</v>
      </c>
      <c r="R9" s="115">
        <f>IFERROR(VLOOKUP($B9,MMWR_TRAD_AGG_STATE_COMP[],R$1,0),"ERROR")</f>
        <v>0</v>
      </c>
      <c r="S9" s="115">
        <f>IFERROR(VLOOKUP($B9,MMWR_APP_STATE_COMP[],S$1,0),"ERROR")</f>
        <v>632</v>
      </c>
      <c r="T9" s="28"/>
    </row>
    <row r="10" spans="1:20" s="123" customFormat="1" x14ac:dyDescent="0.2">
      <c r="A10" s="107"/>
      <c r="B10" s="127" t="s">
        <v>413</v>
      </c>
      <c r="C10" s="109">
        <f>IFERROR(VLOOKUP($B10,MMWR_TRAD_AGG_STATE_COMP[],C$1,0),"ERROR")</f>
        <v>407</v>
      </c>
      <c r="D10" s="110">
        <f>IFERROR(VLOOKUP($B10,MMWR_TRAD_AGG_STATE_COMP[],D$1,0),"ERROR")</f>
        <v>591.50614250609999</v>
      </c>
      <c r="E10" s="111">
        <f>IFERROR(VLOOKUP($B10,MMWR_TRAD_AGG_STATE_COMP[],E$1,0),"ERROR")</f>
        <v>461</v>
      </c>
      <c r="F10" s="112">
        <f>IFERROR(VLOOKUP($B10,MMWR_TRAD_AGG_STATE_COMP[],F$1,0),"ERROR")</f>
        <v>101</v>
      </c>
      <c r="G10" s="113">
        <f t="shared" si="0"/>
        <v>0.21908893709327548</v>
      </c>
      <c r="H10" s="111">
        <f>IFERROR(VLOOKUP($B10,MMWR_TRAD_AGG_STATE_COMP[],H$1,0),"ERROR")</f>
        <v>755</v>
      </c>
      <c r="I10" s="112">
        <f>IFERROR(VLOOKUP($B10,MMWR_TRAD_AGG_STATE_COMP[],I$1,0),"ERROR")</f>
        <v>377</v>
      </c>
      <c r="J10" s="114">
        <f t="shared" si="1"/>
        <v>0.49933774834437084</v>
      </c>
      <c r="K10" s="111">
        <f>IFERROR(VLOOKUP($B10,MMWR_TRAD_AGG_STATE_COMP[],K$1,0),"ERROR")</f>
        <v>203</v>
      </c>
      <c r="L10" s="112">
        <f>IFERROR(VLOOKUP($B10,MMWR_TRAD_AGG_STATE_COMP[],L$1,0),"ERROR")</f>
        <v>173</v>
      </c>
      <c r="M10" s="114">
        <f t="shared" si="2"/>
        <v>0.85221674876847286</v>
      </c>
      <c r="N10" s="111">
        <f>IFERROR(VLOOKUP($B10,MMWR_TRAD_AGG_STATE_COMP[],N$1,0),"ERROR")</f>
        <v>377</v>
      </c>
      <c r="O10" s="112">
        <f>IFERROR(VLOOKUP($B10,MMWR_TRAD_AGG_STATE_COMP[],O$1,0),"ERROR")</f>
        <v>286</v>
      </c>
      <c r="P10" s="114">
        <f t="shared" si="3"/>
        <v>0.75862068965517238</v>
      </c>
      <c r="Q10" s="115">
        <f>IFERROR(VLOOKUP($B10,MMWR_TRAD_AGG_STATE_COMP[],Q$1,0),"ERROR")</f>
        <v>27</v>
      </c>
      <c r="R10" s="115">
        <f>IFERROR(VLOOKUP($B10,MMWR_TRAD_AGG_STATE_COMP[],R$1,0),"ERROR")</f>
        <v>0</v>
      </c>
      <c r="S10" s="115">
        <f>IFERROR(VLOOKUP($B10,MMWR_APP_STATE_COMP[],S$1,0),"ERROR")</f>
        <v>600</v>
      </c>
      <c r="T10" s="28"/>
    </row>
    <row r="11" spans="1:20" s="123" customFormat="1" x14ac:dyDescent="0.2">
      <c r="A11" s="107"/>
      <c r="B11" s="127" t="s">
        <v>415</v>
      </c>
      <c r="C11" s="109">
        <f>IFERROR(VLOOKUP($B11,MMWR_TRAD_AGG_STATE_COMP[],C$1,0),"ERROR")</f>
        <v>1075</v>
      </c>
      <c r="D11" s="110">
        <f>IFERROR(VLOOKUP($B11,MMWR_TRAD_AGG_STATE_COMP[],D$1,0),"ERROR")</f>
        <v>308.32</v>
      </c>
      <c r="E11" s="111">
        <f>IFERROR(VLOOKUP($B11,MMWR_TRAD_AGG_STATE_COMP[],E$1,0),"ERROR")</f>
        <v>1284</v>
      </c>
      <c r="F11" s="112">
        <f>IFERROR(VLOOKUP($B11,MMWR_TRAD_AGG_STATE_COMP[],F$1,0),"ERROR")</f>
        <v>174</v>
      </c>
      <c r="G11" s="113">
        <f t="shared" si="0"/>
        <v>0.13551401869158877</v>
      </c>
      <c r="H11" s="111">
        <f>IFERROR(VLOOKUP($B11,MMWR_TRAD_AGG_STATE_COMP[],H$1,0),"ERROR")</f>
        <v>2068</v>
      </c>
      <c r="I11" s="112">
        <f>IFERROR(VLOOKUP($B11,MMWR_TRAD_AGG_STATE_COMP[],I$1,0),"ERROR")</f>
        <v>856</v>
      </c>
      <c r="J11" s="114">
        <f t="shared" si="1"/>
        <v>0.41392649903288203</v>
      </c>
      <c r="K11" s="111">
        <f>IFERROR(VLOOKUP($B11,MMWR_TRAD_AGG_STATE_COMP[],K$1,0),"ERROR")</f>
        <v>858</v>
      </c>
      <c r="L11" s="112">
        <f>IFERROR(VLOOKUP($B11,MMWR_TRAD_AGG_STATE_COMP[],L$1,0),"ERROR")</f>
        <v>646</v>
      </c>
      <c r="M11" s="114">
        <f t="shared" si="2"/>
        <v>0.75291375291375295</v>
      </c>
      <c r="N11" s="111">
        <f>IFERROR(VLOOKUP($B11,MMWR_TRAD_AGG_STATE_COMP[],N$1,0),"ERROR")</f>
        <v>463</v>
      </c>
      <c r="O11" s="112">
        <f>IFERROR(VLOOKUP($B11,MMWR_TRAD_AGG_STATE_COMP[],O$1,0),"ERROR")</f>
        <v>284</v>
      </c>
      <c r="P11" s="114">
        <f t="shared" si="3"/>
        <v>0.61339092872570189</v>
      </c>
      <c r="Q11" s="115">
        <f>IFERROR(VLOOKUP($B11,MMWR_TRAD_AGG_STATE_COMP[],Q$1,0),"ERROR")</f>
        <v>404</v>
      </c>
      <c r="R11" s="115">
        <f>IFERROR(VLOOKUP($B11,MMWR_TRAD_AGG_STATE_COMP[],R$1,0),"ERROR")</f>
        <v>2</v>
      </c>
      <c r="S11" s="115">
        <f>IFERROR(VLOOKUP($B11,MMWR_APP_STATE_COMP[],S$1,0),"ERROR")</f>
        <v>495</v>
      </c>
      <c r="T11" s="28"/>
    </row>
    <row r="12" spans="1:20" s="123" customFormat="1" x14ac:dyDescent="0.2">
      <c r="A12" s="107"/>
      <c r="B12" s="127" t="s">
        <v>375</v>
      </c>
      <c r="C12" s="109">
        <f>IFERROR(VLOOKUP($B12,MMWR_TRAD_AGG_STATE_COMP[],C$1,0),"ERROR")</f>
        <v>8077</v>
      </c>
      <c r="D12" s="110">
        <f>IFERROR(VLOOKUP($B12,MMWR_TRAD_AGG_STATE_COMP[],D$1,0),"ERROR")</f>
        <v>632.05472328830001</v>
      </c>
      <c r="E12" s="111">
        <f>IFERROR(VLOOKUP($B12,MMWR_TRAD_AGG_STATE_COMP[],E$1,0),"ERROR")</f>
        <v>6414</v>
      </c>
      <c r="F12" s="112">
        <f>IFERROR(VLOOKUP($B12,MMWR_TRAD_AGG_STATE_COMP[],F$1,0),"ERROR")</f>
        <v>1420</v>
      </c>
      <c r="G12" s="113">
        <f t="shared" si="0"/>
        <v>0.22139070782662926</v>
      </c>
      <c r="H12" s="111">
        <f>IFERROR(VLOOKUP($B12,MMWR_TRAD_AGG_STATE_COMP[],H$1,0),"ERROR")</f>
        <v>12433</v>
      </c>
      <c r="I12" s="112">
        <f>IFERROR(VLOOKUP($B12,MMWR_TRAD_AGG_STATE_COMP[],I$1,0),"ERROR")</f>
        <v>7718</v>
      </c>
      <c r="J12" s="114">
        <f t="shared" si="1"/>
        <v>0.6207673127965897</v>
      </c>
      <c r="K12" s="111">
        <f>IFERROR(VLOOKUP($B12,MMWR_TRAD_AGG_STATE_COMP[],K$1,0),"ERROR")</f>
        <v>4297</v>
      </c>
      <c r="L12" s="112">
        <f>IFERROR(VLOOKUP($B12,MMWR_TRAD_AGG_STATE_COMP[],L$1,0),"ERROR")</f>
        <v>3693</v>
      </c>
      <c r="M12" s="114">
        <f t="shared" si="2"/>
        <v>0.85943681638352343</v>
      </c>
      <c r="N12" s="111">
        <f>IFERROR(VLOOKUP($B12,MMWR_TRAD_AGG_STATE_COMP[],N$1,0),"ERROR")</f>
        <v>3275</v>
      </c>
      <c r="O12" s="112">
        <f>IFERROR(VLOOKUP($B12,MMWR_TRAD_AGG_STATE_COMP[],O$1,0),"ERROR")</f>
        <v>2314</v>
      </c>
      <c r="P12" s="114">
        <f t="shared" si="3"/>
        <v>0.70656488549618324</v>
      </c>
      <c r="Q12" s="115">
        <f>IFERROR(VLOOKUP($B12,MMWR_TRAD_AGG_STATE_COMP[],Q$1,0),"ERROR")</f>
        <v>507</v>
      </c>
      <c r="R12" s="115">
        <f>IFERROR(VLOOKUP($B12,MMWR_TRAD_AGG_STATE_COMP[],R$1,0),"ERROR")</f>
        <v>6</v>
      </c>
      <c r="S12" s="115">
        <f>IFERROR(VLOOKUP($B12,MMWR_APP_STATE_COMP[],S$1,0),"ERROR")</f>
        <v>5770</v>
      </c>
      <c r="T12" s="28"/>
    </row>
    <row r="13" spans="1:20" s="123" customFormat="1" x14ac:dyDescent="0.2">
      <c r="A13" s="107"/>
      <c r="B13" s="127" t="s">
        <v>370</v>
      </c>
      <c r="C13" s="109">
        <f>IFERROR(VLOOKUP($B13,MMWR_TRAD_AGG_STATE_COMP[],C$1,0),"ERROR")</f>
        <v>3407</v>
      </c>
      <c r="D13" s="110">
        <f>IFERROR(VLOOKUP($B13,MMWR_TRAD_AGG_STATE_COMP[],D$1,0),"ERROR")</f>
        <v>554.66656882890004</v>
      </c>
      <c r="E13" s="111">
        <f>IFERROR(VLOOKUP($B13,MMWR_TRAD_AGG_STATE_COMP[],E$1,0),"ERROR")</f>
        <v>4387</v>
      </c>
      <c r="F13" s="112">
        <f>IFERROR(VLOOKUP($B13,MMWR_TRAD_AGG_STATE_COMP[],F$1,0),"ERROR")</f>
        <v>865</v>
      </c>
      <c r="G13" s="113">
        <f t="shared" si="0"/>
        <v>0.19717346706177341</v>
      </c>
      <c r="H13" s="111">
        <f>IFERROR(VLOOKUP($B13,MMWR_TRAD_AGG_STATE_COMP[],H$1,0),"ERROR")</f>
        <v>7530</v>
      </c>
      <c r="I13" s="112">
        <f>IFERROR(VLOOKUP($B13,MMWR_TRAD_AGG_STATE_COMP[],I$1,0),"ERROR")</f>
        <v>3680</v>
      </c>
      <c r="J13" s="114">
        <f t="shared" si="1"/>
        <v>0.48871181938911024</v>
      </c>
      <c r="K13" s="111">
        <f>IFERROR(VLOOKUP($B13,MMWR_TRAD_AGG_STATE_COMP[],K$1,0),"ERROR")</f>
        <v>2552</v>
      </c>
      <c r="L13" s="112">
        <f>IFERROR(VLOOKUP($B13,MMWR_TRAD_AGG_STATE_COMP[],L$1,0),"ERROR")</f>
        <v>2083</v>
      </c>
      <c r="M13" s="114">
        <f t="shared" si="2"/>
        <v>0.81622257053291536</v>
      </c>
      <c r="N13" s="111">
        <f>IFERROR(VLOOKUP($B13,MMWR_TRAD_AGG_STATE_COMP[],N$1,0),"ERROR")</f>
        <v>1281</v>
      </c>
      <c r="O13" s="112">
        <f>IFERROR(VLOOKUP($B13,MMWR_TRAD_AGG_STATE_COMP[],O$1,0),"ERROR")</f>
        <v>953</v>
      </c>
      <c r="P13" s="114">
        <f t="shared" si="3"/>
        <v>0.74395003903200629</v>
      </c>
      <c r="Q13" s="115">
        <f>IFERROR(VLOOKUP($B13,MMWR_TRAD_AGG_STATE_COMP[],Q$1,0),"ERROR")</f>
        <v>798</v>
      </c>
      <c r="R13" s="115">
        <f>IFERROR(VLOOKUP($B13,MMWR_TRAD_AGG_STATE_COMP[],R$1,0),"ERROR")</f>
        <v>12</v>
      </c>
      <c r="S13" s="115">
        <f>IFERROR(VLOOKUP($B13,MMWR_APP_STATE_COMP[],S$1,0),"ERROR")</f>
        <v>3331</v>
      </c>
      <c r="T13" s="28"/>
    </row>
    <row r="14" spans="1:20" s="123" customFormat="1" x14ac:dyDescent="0.2">
      <c r="A14" s="107"/>
      <c r="B14" s="127" t="s">
        <v>414</v>
      </c>
      <c r="C14" s="109">
        <f>IFERROR(VLOOKUP($B14,MMWR_TRAD_AGG_STATE_COMP[],C$1,0),"ERROR")</f>
        <v>945</v>
      </c>
      <c r="D14" s="110">
        <f>IFERROR(VLOOKUP($B14,MMWR_TRAD_AGG_STATE_COMP[],D$1,0),"ERROR")</f>
        <v>264.6772486772</v>
      </c>
      <c r="E14" s="111">
        <f>IFERROR(VLOOKUP($B14,MMWR_TRAD_AGG_STATE_COMP[],E$1,0),"ERROR")</f>
        <v>1277</v>
      </c>
      <c r="F14" s="112">
        <f>IFERROR(VLOOKUP($B14,MMWR_TRAD_AGG_STATE_COMP[],F$1,0),"ERROR")</f>
        <v>208</v>
      </c>
      <c r="G14" s="113">
        <f t="shared" si="0"/>
        <v>0.16288175411119812</v>
      </c>
      <c r="H14" s="111">
        <f>IFERROR(VLOOKUP($B14,MMWR_TRAD_AGG_STATE_COMP[],H$1,0),"ERROR")</f>
        <v>1944</v>
      </c>
      <c r="I14" s="112">
        <f>IFERROR(VLOOKUP($B14,MMWR_TRAD_AGG_STATE_COMP[],I$1,0),"ERROR")</f>
        <v>825</v>
      </c>
      <c r="J14" s="114">
        <f t="shared" si="1"/>
        <v>0.42438271604938271</v>
      </c>
      <c r="K14" s="111">
        <f>IFERROR(VLOOKUP($B14,MMWR_TRAD_AGG_STATE_COMP[],K$1,0),"ERROR")</f>
        <v>359</v>
      </c>
      <c r="L14" s="112">
        <f>IFERROR(VLOOKUP($B14,MMWR_TRAD_AGG_STATE_COMP[],L$1,0),"ERROR")</f>
        <v>256</v>
      </c>
      <c r="M14" s="114">
        <f t="shared" si="2"/>
        <v>0.71309192200557103</v>
      </c>
      <c r="N14" s="111">
        <f>IFERROR(VLOOKUP($B14,MMWR_TRAD_AGG_STATE_COMP[],N$1,0),"ERROR")</f>
        <v>338</v>
      </c>
      <c r="O14" s="112">
        <f>IFERROR(VLOOKUP($B14,MMWR_TRAD_AGG_STATE_COMP[],O$1,0),"ERROR")</f>
        <v>182</v>
      </c>
      <c r="P14" s="114">
        <f t="shared" si="3"/>
        <v>0.53846153846153844</v>
      </c>
      <c r="Q14" s="115">
        <f>IFERROR(VLOOKUP($B14,MMWR_TRAD_AGG_STATE_COMP[],Q$1,0),"ERROR")</f>
        <v>200</v>
      </c>
      <c r="R14" s="115">
        <f>IFERROR(VLOOKUP($B14,MMWR_TRAD_AGG_STATE_COMP[],R$1,0),"ERROR")</f>
        <v>4</v>
      </c>
      <c r="S14" s="115">
        <f>IFERROR(VLOOKUP($B14,MMWR_APP_STATE_COMP[],S$1,0),"ERROR")</f>
        <v>598</v>
      </c>
      <c r="T14" s="28"/>
    </row>
    <row r="15" spans="1:20" s="123" customFormat="1" x14ac:dyDescent="0.2">
      <c r="A15" s="107"/>
      <c r="B15" s="127" t="s">
        <v>373</v>
      </c>
      <c r="C15" s="109">
        <f>IFERROR(VLOOKUP($B15,MMWR_TRAD_AGG_STATE_COMP[],C$1,0),"ERROR")</f>
        <v>1546</v>
      </c>
      <c r="D15" s="110">
        <f>IFERROR(VLOOKUP($B15,MMWR_TRAD_AGG_STATE_COMP[],D$1,0),"ERROR")</f>
        <v>334.78460543339997</v>
      </c>
      <c r="E15" s="111">
        <f>IFERROR(VLOOKUP($B15,MMWR_TRAD_AGG_STATE_COMP[],E$1,0),"ERROR")</f>
        <v>4540</v>
      </c>
      <c r="F15" s="112">
        <f>IFERROR(VLOOKUP($B15,MMWR_TRAD_AGG_STATE_COMP[],F$1,0),"ERROR")</f>
        <v>1222</v>
      </c>
      <c r="G15" s="113">
        <f t="shared" si="0"/>
        <v>0.26916299559471368</v>
      </c>
      <c r="H15" s="111">
        <f>IFERROR(VLOOKUP($B15,MMWR_TRAD_AGG_STATE_COMP[],H$1,0),"ERROR")</f>
        <v>4247</v>
      </c>
      <c r="I15" s="112">
        <f>IFERROR(VLOOKUP($B15,MMWR_TRAD_AGG_STATE_COMP[],I$1,0),"ERROR")</f>
        <v>1600</v>
      </c>
      <c r="J15" s="114">
        <f t="shared" si="1"/>
        <v>0.37673651989639745</v>
      </c>
      <c r="K15" s="111">
        <f>IFERROR(VLOOKUP($B15,MMWR_TRAD_AGG_STATE_COMP[],K$1,0),"ERROR")</f>
        <v>1355</v>
      </c>
      <c r="L15" s="112">
        <f>IFERROR(VLOOKUP($B15,MMWR_TRAD_AGG_STATE_COMP[],L$1,0),"ERROR")</f>
        <v>1134</v>
      </c>
      <c r="M15" s="114">
        <f t="shared" si="2"/>
        <v>0.83690036900369003</v>
      </c>
      <c r="N15" s="111">
        <f>IFERROR(VLOOKUP($B15,MMWR_TRAD_AGG_STATE_COMP[],N$1,0),"ERROR")</f>
        <v>2465</v>
      </c>
      <c r="O15" s="112">
        <f>IFERROR(VLOOKUP($B15,MMWR_TRAD_AGG_STATE_COMP[],O$1,0),"ERROR")</f>
        <v>1809</v>
      </c>
      <c r="P15" s="114">
        <f t="shared" si="3"/>
        <v>0.73387423935091278</v>
      </c>
      <c r="Q15" s="115">
        <f>IFERROR(VLOOKUP($B15,MMWR_TRAD_AGG_STATE_COMP[],Q$1,0),"ERROR")</f>
        <v>815</v>
      </c>
      <c r="R15" s="115">
        <f>IFERROR(VLOOKUP($B15,MMWR_TRAD_AGG_STATE_COMP[],R$1,0),"ERROR")</f>
        <v>6</v>
      </c>
      <c r="S15" s="115">
        <f>IFERROR(VLOOKUP($B15,MMWR_APP_STATE_COMP[],S$1,0),"ERROR")</f>
        <v>3833</v>
      </c>
      <c r="T15" s="28"/>
    </row>
    <row r="16" spans="1:20" s="123" customFormat="1" x14ac:dyDescent="0.2">
      <c r="A16" s="107"/>
      <c r="B16" s="127" t="s">
        <v>60</v>
      </c>
      <c r="C16" s="109">
        <f>IFERROR(VLOOKUP($B16,MMWR_TRAD_AGG_STATE_COMP[],C$1,0),"ERROR")</f>
        <v>3436</v>
      </c>
      <c r="D16" s="110">
        <f>IFERROR(VLOOKUP($B16,MMWR_TRAD_AGG_STATE_COMP[],D$1,0),"ERROR")</f>
        <v>288.7232246799</v>
      </c>
      <c r="E16" s="111">
        <f>IFERROR(VLOOKUP($B16,MMWR_TRAD_AGG_STATE_COMP[],E$1,0),"ERROR")</f>
        <v>9197</v>
      </c>
      <c r="F16" s="112">
        <f>IFERROR(VLOOKUP($B16,MMWR_TRAD_AGG_STATE_COMP[],F$1,0),"ERROR")</f>
        <v>2215</v>
      </c>
      <c r="G16" s="113">
        <f t="shared" si="0"/>
        <v>0.24083940415352834</v>
      </c>
      <c r="H16" s="111">
        <f>IFERROR(VLOOKUP($B16,MMWR_TRAD_AGG_STATE_COMP[],H$1,0),"ERROR")</f>
        <v>9422</v>
      </c>
      <c r="I16" s="112">
        <f>IFERROR(VLOOKUP($B16,MMWR_TRAD_AGG_STATE_COMP[],I$1,0),"ERROR")</f>
        <v>3641</v>
      </c>
      <c r="J16" s="114">
        <f t="shared" si="1"/>
        <v>0.38643600084907664</v>
      </c>
      <c r="K16" s="111">
        <f>IFERROR(VLOOKUP($B16,MMWR_TRAD_AGG_STATE_COMP[],K$1,0),"ERROR")</f>
        <v>3257</v>
      </c>
      <c r="L16" s="112">
        <f>IFERROR(VLOOKUP($B16,MMWR_TRAD_AGG_STATE_COMP[],L$1,0),"ERROR")</f>
        <v>2587</v>
      </c>
      <c r="M16" s="114">
        <f t="shared" si="2"/>
        <v>0.79428922321154438</v>
      </c>
      <c r="N16" s="111">
        <f>IFERROR(VLOOKUP($B16,MMWR_TRAD_AGG_STATE_COMP[],N$1,0),"ERROR")</f>
        <v>6084</v>
      </c>
      <c r="O16" s="112">
        <f>IFERROR(VLOOKUP($B16,MMWR_TRAD_AGG_STATE_COMP[],O$1,0),"ERROR")</f>
        <v>4199</v>
      </c>
      <c r="P16" s="114">
        <f t="shared" si="3"/>
        <v>0.69017094017094016</v>
      </c>
      <c r="Q16" s="115">
        <f>IFERROR(VLOOKUP($B16,MMWR_TRAD_AGG_STATE_COMP[],Q$1,0),"ERROR")</f>
        <v>1718</v>
      </c>
      <c r="R16" s="115">
        <f>IFERROR(VLOOKUP($B16,MMWR_TRAD_AGG_STATE_COMP[],R$1,0),"ERROR")</f>
        <v>11</v>
      </c>
      <c r="S16" s="115">
        <f>IFERROR(VLOOKUP($B16,MMWR_APP_STATE_COMP[],S$1,0),"ERROR")</f>
        <v>5401</v>
      </c>
      <c r="T16" s="28"/>
    </row>
    <row r="17" spans="1:20" s="123" customFormat="1" x14ac:dyDescent="0.2">
      <c r="A17" s="107"/>
      <c r="B17" s="127" t="s">
        <v>381</v>
      </c>
      <c r="C17" s="109">
        <f>IFERROR(VLOOKUP($B17,MMWR_TRAD_AGG_STATE_COMP[],C$1,0),"ERROR")</f>
        <v>13414</v>
      </c>
      <c r="D17" s="110">
        <f>IFERROR(VLOOKUP($B17,MMWR_TRAD_AGG_STATE_COMP[],D$1,0),"ERROR")</f>
        <v>352.65819293279998</v>
      </c>
      <c r="E17" s="111">
        <f>IFERROR(VLOOKUP($B17,MMWR_TRAD_AGG_STATE_COMP[],E$1,0),"ERROR")</f>
        <v>17550</v>
      </c>
      <c r="F17" s="112">
        <f>IFERROR(VLOOKUP($B17,MMWR_TRAD_AGG_STATE_COMP[],F$1,0),"ERROR")</f>
        <v>4048</v>
      </c>
      <c r="G17" s="113">
        <f t="shared" si="0"/>
        <v>0.23065527065527067</v>
      </c>
      <c r="H17" s="111">
        <f>IFERROR(VLOOKUP($B17,MMWR_TRAD_AGG_STATE_COMP[],H$1,0),"ERROR")</f>
        <v>20600</v>
      </c>
      <c r="I17" s="112">
        <f>IFERROR(VLOOKUP($B17,MMWR_TRAD_AGG_STATE_COMP[],I$1,0),"ERROR")</f>
        <v>11842</v>
      </c>
      <c r="J17" s="114">
        <f t="shared" si="1"/>
        <v>0.57485436893203878</v>
      </c>
      <c r="K17" s="111">
        <f>IFERROR(VLOOKUP($B17,MMWR_TRAD_AGG_STATE_COMP[],K$1,0),"ERROR")</f>
        <v>8925</v>
      </c>
      <c r="L17" s="112">
        <f>IFERROR(VLOOKUP($B17,MMWR_TRAD_AGG_STATE_COMP[],L$1,0),"ERROR")</f>
        <v>7143</v>
      </c>
      <c r="M17" s="114">
        <f t="shared" si="2"/>
        <v>0.80033613445378149</v>
      </c>
      <c r="N17" s="111">
        <f>IFERROR(VLOOKUP($B17,MMWR_TRAD_AGG_STATE_COMP[],N$1,0),"ERROR")</f>
        <v>7570</v>
      </c>
      <c r="O17" s="112">
        <f>IFERROR(VLOOKUP($B17,MMWR_TRAD_AGG_STATE_COMP[],O$1,0),"ERROR")</f>
        <v>5189</v>
      </c>
      <c r="P17" s="114">
        <f t="shared" si="3"/>
        <v>0.68546895640686922</v>
      </c>
      <c r="Q17" s="115">
        <f>IFERROR(VLOOKUP($B17,MMWR_TRAD_AGG_STATE_COMP[],Q$1,0),"ERROR")</f>
        <v>1259</v>
      </c>
      <c r="R17" s="115">
        <f>IFERROR(VLOOKUP($B17,MMWR_TRAD_AGG_STATE_COMP[],R$1,0),"ERROR")</f>
        <v>44</v>
      </c>
      <c r="S17" s="115">
        <f>IFERROR(VLOOKUP($B17,MMWR_APP_STATE_COMP[],S$1,0),"ERROR")</f>
        <v>9389</v>
      </c>
      <c r="T17" s="28"/>
    </row>
    <row r="18" spans="1:20" s="123" customFormat="1" x14ac:dyDescent="0.2">
      <c r="A18" s="107"/>
      <c r="B18" s="127" t="s">
        <v>374</v>
      </c>
      <c r="C18" s="109">
        <f>IFERROR(VLOOKUP($B18,MMWR_TRAD_AGG_STATE_COMP[],C$1,0),"ERROR")</f>
        <v>5095</v>
      </c>
      <c r="D18" s="110">
        <f>IFERROR(VLOOKUP($B18,MMWR_TRAD_AGG_STATE_COMP[],D$1,0),"ERROR")</f>
        <v>384.17350343470002</v>
      </c>
      <c r="E18" s="111">
        <f>IFERROR(VLOOKUP($B18,MMWR_TRAD_AGG_STATE_COMP[],E$1,0),"ERROR")</f>
        <v>9784</v>
      </c>
      <c r="F18" s="112">
        <f>IFERROR(VLOOKUP($B18,MMWR_TRAD_AGG_STATE_COMP[],F$1,0),"ERROR")</f>
        <v>2775</v>
      </c>
      <c r="G18" s="113">
        <f t="shared" si="0"/>
        <v>0.28362632869991822</v>
      </c>
      <c r="H18" s="111">
        <f>IFERROR(VLOOKUP($B18,MMWR_TRAD_AGG_STATE_COMP[],H$1,0),"ERROR")</f>
        <v>11548</v>
      </c>
      <c r="I18" s="112">
        <f>IFERROR(VLOOKUP($B18,MMWR_TRAD_AGG_STATE_COMP[],I$1,0),"ERROR")</f>
        <v>5591</v>
      </c>
      <c r="J18" s="114">
        <f t="shared" si="1"/>
        <v>0.4841531001039141</v>
      </c>
      <c r="K18" s="111">
        <f>IFERROR(VLOOKUP($B18,MMWR_TRAD_AGG_STATE_COMP[],K$1,0),"ERROR")</f>
        <v>2375</v>
      </c>
      <c r="L18" s="112">
        <f>IFERROR(VLOOKUP($B18,MMWR_TRAD_AGG_STATE_COMP[],L$1,0),"ERROR")</f>
        <v>1977</v>
      </c>
      <c r="M18" s="114">
        <f t="shared" si="2"/>
        <v>0.83242105263157895</v>
      </c>
      <c r="N18" s="111">
        <f>IFERROR(VLOOKUP($B18,MMWR_TRAD_AGG_STATE_COMP[],N$1,0),"ERROR")</f>
        <v>6425</v>
      </c>
      <c r="O18" s="112">
        <f>IFERROR(VLOOKUP($B18,MMWR_TRAD_AGG_STATE_COMP[],O$1,0),"ERROR")</f>
        <v>5242</v>
      </c>
      <c r="P18" s="114">
        <f t="shared" si="3"/>
        <v>0.81587548638132301</v>
      </c>
      <c r="Q18" s="115">
        <f>IFERROR(VLOOKUP($B18,MMWR_TRAD_AGG_STATE_COMP[],Q$1,0),"ERROR")</f>
        <v>1608</v>
      </c>
      <c r="R18" s="115">
        <f>IFERROR(VLOOKUP($B18,MMWR_TRAD_AGG_STATE_COMP[],R$1,0),"ERROR")</f>
        <v>16</v>
      </c>
      <c r="S18" s="115">
        <f>IFERROR(VLOOKUP($B18,MMWR_APP_STATE_COMP[],S$1,0),"ERROR")</f>
        <v>7222</v>
      </c>
      <c r="T18" s="28"/>
    </row>
    <row r="19" spans="1:20" s="123" customFormat="1" x14ac:dyDescent="0.2">
      <c r="A19" s="107"/>
      <c r="B19" s="127" t="s">
        <v>371</v>
      </c>
      <c r="C19" s="109">
        <f>IFERROR(VLOOKUP($B19,MMWR_TRAD_AGG_STATE_COMP[],C$1,0),"ERROR")</f>
        <v>264</v>
      </c>
      <c r="D19" s="110">
        <f>IFERROR(VLOOKUP($B19,MMWR_TRAD_AGG_STATE_COMP[],D$1,0),"ERROR")</f>
        <v>220.68939393939999</v>
      </c>
      <c r="E19" s="111">
        <f>IFERROR(VLOOKUP($B19,MMWR_TRAD_AGG_STATE_COMP[],E$1,0),"ERROR")</f>
        <v>915</v>
      </c>
      <c r="F19" s="112">
        <f>IFERROR(VLOOKUP($B19,MMWR_TRAD_AGG_STATE_COMP[],F$1,0),"ERROR")</f>
        <v>172</v>
      </c>
      <c r="G19" s="113">
        <f t="shared" si="0"/>
        <v>0.18797814207650274</v>
      </c>
      <c r="H19" s="111">
        <f>IFERROR(VLOOKUP($B19,MMWR_TRAD_AGG_STATE_COMP[],H$1,0),"ERROR")</f>
        <v>1060</v>
      </c>
      <c r="I19" s="112">
        <f>IFERROR(VLOOKUP($B19,MMWR_TRAD_AGG_STATE_COMP[],I$1,0),"ERROR")</f>
        <v>254</v>
      </c>
      <c r="J19" s="114">
        <f t="shared" si="1"/>
        <v>0.23962264150943396</v>
      </c>
      <c r="K19" s="111">
        <f>IFERROR(VLOOKUP($B19,MMWR_TRAD_AGG_STATE_COMP[],K$1,0),"ERROR")</f>
        <v>219</v>
      </c>
      <c r="L19" s="112">
        <f>IFERROR(VLOOKUP($B19,MMWR_TRAD_AGG_STATE_COMP[],L$1,0),"ERROR")</f>
        <v>169</v>
      </c>
      <c r="M19" s="114">
        <f t="shared" si="2"/>
        <v>0.77168949771689499</v>
      </c>
      <c r="N19" s="111">
        <f>IFERROR(VLOOKUP($B19,MMWR_TRAD_AGG_STATE_COMP[],N$1,0),"ERROR")</f>
        <v>229</v>
      </c>
      <c r="O19" s="112">
        <f>IFERROR(VLOOKUP($B19,MMWR_TRAD_AGG_STATE_COMP[],O$1,0),"ERROR")</f>
        <v>127</v>
      </c>
      <c r="P19" s="114">
        <f t="shared" si="3"/>
        <v>0.55458515283842791</v>
      </c>
      <c r="Q19" s="115">
        <f>IFERROR(VLOOKUP($B19,MMWR_TRAD_AGG_STATE_COMP[],Q$1,0),"ERROR")</f>
        <v>191</v>
      </c>
      <c r="R19" s="115">
        <f>IFERROR(VLOOKUP($B19,MMWR_TRAD_AGG_STATE_COMP[],R$1,0),"ERROR")</f>
        <v>3</v>
      </c>
      <c r="S19" s="115">
        <f>IFERROR(VLOOKUP($B19,MMWR_APP_STATE_COMP[],S$1,0),"ERROR")</f>
        <v>289</v>
      </c>
      <c r="T19" s="28"/>
    </row>
    <row r="20" spans="1:20" s="123" customFormat="1" x14ac:dyDescent="0.2">
      <c r="A20" s="107"/>
      <c r="B20" s="127" t="s">
        <v>416</v>
      </c>
      <c r="C20" s="109">
        <f>IFERROR(VLOOKUP($B20,MMWR_TRAD_AGG_STATE_COMP[],C$1,0),"ERROR")</f>
        <v>413</v>
      </c>
      <c r="D20" s="110">
        <f>IFERROR(VLOOKUP($B20,MMWR_TRAD_AGG_STATE_COMP[],D$1,0),"ERROR")</f>
        <v>336.11622276029999</v>
      </c>
      <c r="E20" s="111">
        <f>IFERROR(VLOOKUP($B20,MMWR_TRAD_AGG_STATE_COMP[],E$1,0),"ERROR")</f>
        <v>517</v>
      </c>
      <c r="F20" s="112">
        <f>IFERROR(VLOOKUP($B20,MMWR_TRAD_AGG_STATE_COMP[],F$1,0),"ERROR")</f>
        <v>123</v>
      </c>
      <c r="G20" s="113">
        <f t="shared" si="0"/>
        <v>0.23791102514506771</v>
      </c>
      <c r="H20" s="111">
        <f>IFERROR(VLOOKUP($B20,MMWR_TRAD_AGG_STATE_COMP[],H$1,0),"ERROR")</f>
        <v>1055</v>
      </c>
      <c r="I20" s="112">
        <f>IFERROR(VLOOKUP($B20,MMWR_TRAD_AGG_STATE_COMP[],I$1,0),"ERROR")</f>
        <v>413</v>
      </c>
      <c r="J20" s="114">
        <f t="shared" si="1"/>
        <v>0.3914691943127962</v>
      </c>
      <c r="K20" s="111">
        <f>IFERROR(VLOOKUP($B20,MMWR_TRAD_AGG_STATE_COMP[],K$1,0),"ERROR")</f>
        <v>239</v>
      </c>
      <c r="L20" s="112">
        <f>IFERROR(VLOOKUP($B20,MMWR_TRAD_AGG_STATE_COMP[],L$1,0),"ERROR")</f>
        <v>184</v>
      </c>
      <c r="M20" s="114">
        <f t="shared" si="2"/>
        <v>0.76987447698744771</v>
      </c>
      <c r="N20" s="111">
        <f>IFERROR(VLOOKUP($B20,MMWR_TRAD_AGG_STATE_COMP[],N$1,0),"ERROR")</f>
        <v>183</v>
      </c>
      <c r="O20" s="112">
        <f>IFERROR(VLOOKUP($B20,MMWR_TRAD_AGG_STATE_COMP[],O$1,0),"ERROR")</f>
        <v>103</v>
      </c>
      <c r="P20" s="114">
        <f t="shared" si="3"/>
        <v>0.56284153005464477</v>
      </c>
      <c r="Q20" s="115">
        <f>IFERROR(VLOOKUP($B20,MMWR_TRAD_AGG_STATE_COMP[],Q$1,0),"ERROR")</f>
        <v>78</v>
      </c>
      <c r="R20" s="115">
        <f>IFERROR(VLOOKUP($B20,MMWR_TRAD_AGG_STATE_COMP[],R$1,0),"ERROR")</f>
        <v>2</v>
      </c>
      <c r="S20" s="115">
        <f>IFERROR(VLOOKUP($B20,MMWR_APP_STATE_COMP[],S$1,0),"ERROR")</f>
        <v>115</v>
      </c>
      <c r="T20" s="28"/>
    </row>
    <row r="21" spans="1:20" s="123" customFormat="1" x14ac:dyDescent="0.2">
      <c r="A21" s="107"/>
      <c r="B21" s="127" t="s">
        <v>377</v>
      </c>
      <c r="C21" s="109">
        <f>IFERROR(VLOOKUP($B21,MMWR_TRAD_AGG_STATE_COMP[],C$1,0),"ERROR")</f>
        <v>15318</v>
      </c>
      <c r="D21" s="110">
        <f>IFERROR(VLOOKUP($B21,MMWR_TRAD_AGG_STATE_COMP[],D$1,0),"ERROR")</f>
        <v>333.21667319490001</v>
      </c>
      <c r="E21" s="111">
        <f>IFERROR(VLOOKUP($B21,MMWR_TRAD_AGG_STATE_COMP[],E$1,0),"ERROR")</f>
        <v>12230</v>
      </c>
      <c r="F21" s="112">
        <f>IFERROR(VLOOKUP($B21,MMWR_TRAD_AGG_STATE_COMP[],F$1,0),"ERROR")</f>
        <v>2148</v>
      </c>
      <c r="G21" s="113">
        <f t="shared" si="0"/>
        <v>0.17563368765331153</v>
      </c>
      <c r="H21" s="111">
        <f>IFERROR(VLOOKUP($B21,MMWR_TRAD_AGG_STATE_COMP[],H$1,0),"ERROR")</f>
        <v>23089</v>
      </c>
      <c r="I21" s="112">
        <f>IFERROR(VLOOKUP($B21,MMWR_TRAD_AGG_STATE_COMP[],I$1,0),"ERROR")</f>
        <v>11538</v>
      </c>
      <c r="J21" s="114">
        <f t="shared" si="1"/>
        <v>0.49971848066178698</v>
      </c>
      <c r="K21" s="111">
        <f>IFERROR(VLOOKUP($B21,MMWR_TRAD_AGG_STATE_COMP[],K$1,0),"ERROR")</f>
        <v>8525</v>
      </c>
      <c r="L21" s="112">
        <f>IFERROR(VLOOKUP($B21,MMWR_TRAD_AGG_STATE_COMP[],L$1,0),"ERROR")</f>
        <v>6727</v>
      </c>
      <c r="M21" s="114">
        <f t="shared" si="2"/>
        <v>0.78909090909090907</v>
      </c>
      <c r="N21" s="111">
        <f>IFERROR(VLOOKUP($B21,MMWR_TRAD_AGG_STATE_COMP[],N$1,0),"ERROR")</f>
        <v>7931</v>
      </c>
      <c r="O21" s="112">
        <f>IFERROR(VLOOKUP($B21,MMWR_TRAD_AGG_STATE_COMP[],O$1,0),"ERROR")</f>
        <v>6049</v>
      </c>
      <c r="P21" s="114">
        <f t="shared" si="3"/>
        <v>0.76270331610137432</v>
      </c>
      <c r="Q21" s="115">
        <f>IFERROR(VLOOKUP($B21,MMWR_TRAD_AGG_STATE_COMP[],Q$1,0),"ERROR")</f>
        <v>1098</v>
      </c>
      <c r="R21" s="115">
        <f>IFERROR(VLOOKUP($B21,MMWR_TRAD_AGG_STATE_COMP[],R$1,0),"ERROR")</f>
        <v>21</v>
      </c>
      <c r="S21" s="115">
        <f>IFERROR(VLOOKUP($B21,MMWR_APP_STATE_COMP[],S$1,0),"ERROR")</f>
        <v>15217</v>
      </c>
      <c r="T21" s="28"/>
    </row>
    <row r="22" spans="1:20" s="123" customFormat="1" x14ac:dyDescent="0.2">
      <c r="A22" s="107"/>
      <c r="B22" s="127" t="s">
        <v>378</v>
      </c>
      <c r="C22" s="109">
        <f>IFERROR(VLOOKUP($B22,MMWR_TRAD_AGG_STATE_COMP[],C$1,0),"ERROR")</f>
        <v>1983</v>
      </c>
      <c r="D22" s="110">
        <f>IFERROR(VLOOKUP($B22,MMWR_TRAD_AGG_STATE_COMP[],D$1,0),"ERROR")</f>
        <v>288.19465456379999</v>
      </c>
      <c r="E22" s="111">
        <f>IFERROR(VLOOKUP($B22,MMWR_TRAD_AGG_STATE_COMP[],E$1,0),"ERROR")</f>
        <v>2418</v>
      </c>
      <c r="F22" s="112">
        <f>IFERROR(VLOOKUP($B22,MMWR_TRAD_AGG_STATE_COMP[],F$1,0),"ERROR")</f>
        <v>444</v>
      </c>
      <c r="G22" s="113">
        <f t="shared" si="0"/>
        <v>0.18362282878411912</v>
      </c>
      <c r="H22" s="111">
        <f>IFERROR(VLOOKUP($B22,MMWR_TRAD_AGG_STATE_COMP[],H$1,0),"ERROR")</f>
        <v>3526</v>
      </c>
      <c r="I22" s="112">
        <f>IFERROR(VLOOKUP($B22,MMWR_TRAD_AGG_STATE_COMP[],I$1,0),"ERROR")</f>
        <v>1912</v>
      </c>
      <c r="J22" s="114">
        <f t="shared" si="1"/>
        <v>0.54225751559841184</v>
      </c>
      <c r="K22" s="111">
        <f>IFERROR(VLOOKUP($B22,MMWR_TRAD_AGG_STATE_COMP[],K$1,0),"ERROR")</f>
        <v>479</v>
      </c>
      <c r="L22" s="112">
        <f>IFERROR(VLOOKUP($B22,MMWR_TRAD_AGG_STATE_COMP[],L$1,0),"ERROR")</f>
        <v>352</v>
      </c>
      <c r="M22" s="114">
        <f t="shared" si="2"/>
        <v>0.73486430062630481</v>
      </c>
      <c r="N22" s="111">
        <f>IFERROR(VLOOKUP($B22,MMWR_TRAD_AGG_STATE_COMP[],N$1,0),"ERROR")</f>
        <v>1547</v>
      </c>
      <c r="O22" s="112">
        <f>IFERROR(VLOOKUP($B22,MMWR_TRAD_AGG_STATE_COMP[],O$1,0),"ERROR")</f>
        <v>1069</v>
      </c>
      <c r="P22" s="114">
        <f t="shared" si="3"/>
        <v>0.69101486748545571</v>
      </c>
      <c r="Q22" s="115">
        <f>IFERROR(VLOOKUP($B22,MMWR_TRAD_AGG_STATE_COMP[],Q$1,0),"ERROR")</f>
        <v>383</v>
      </c>
      <c r="R22" s="115">
        <f>IFERROR(VLOOKUP($B22,MMWR_TRAD_AGG_STATE_COMP[],R$1,0),"ERROR")</f>
        <v>6</v>
      </c>
      <c r="S22" s="115">
        <f>IFERROR(VLOOKUP($B22,MMWR_APP_STATE_COMP[],S$1,0),"ERROR")</f>
        <v>2443</v>
      </c>
      <c r="T22" s="28"/>
    </row>
    <row r="23" spans="1:20" s="123" customFormat="1" x14ac:dyDescent="0.2">
      <c r="A23" s="107"/>
      <c r="B23" s="126" t="s">
        <v>389</v>
      </c>
      <c r="C23" s="102">
        <f>IF(SUM(C24:C35)&lt;&gt;VLOOKUP($B23,MMWR_TRAD_AGG_ST_DISTRICT_COMP[],C$1,0),"ERROR",
VLOOKUP($B23,MMWR_TRAD_AGG_ST_DISTRICT_COMP[],C$1,0))</f>
        <v>29337</v>
      </c>
      <c r="D23" s="103">
        <f>IFERROR(VLOOKUP($B23,MMWR_TRAD_AGG_ST_DISTRICT_COMP[],D$1,0),"ERROR")</f>
        <v>382.4091420391</v>
      </c>
      <c r="E23" s="102">
        <f>IF(SUM(E24:E35)&lt;&gt;VLOOKUP($B23,MMWR_TRAD_AGG_ST_DISTRICT_COMP[],E$1,0),"ERROR",
VLOOKUP($B23,MMWR_TRAD_AGG_ST_DISTRICT_COMP[],E$1,0))</f>
        <v>53706</v>
      </c>
      <c r="F23" s="102">
        <f>IF(SUM(F24:F35)&lt;&gt;VLOOKUP($B23,MMWR_TRAD_AGG_ST_DISTRICT_COMP[],F$1,0),"ERROR",
VLOOKUP($B23,MMWR_TRAD_AGG_ST_DISTRICT_COMP[],F$1,0))</f>
        <v>10239</v>
      </c>
      <c r="G23" s="104">
        <f t="shared" si="0"/>
        <v>0.19064908948720813</v>
      </c>
      <c r="H23" s="102">
        <f>IF(SUM(H24:H35)&lt;&gt;VLOOKUP($B23,MMWR_TRAD_AGG_ST_DISTRICT_COMP[],H$1,0),"ERROR",
VLOOKUP($B23,MMWR_TRAD_AGG_ST_DISTRICT_COMP[],H$1,0))</f>
        <v>65436</v>
      </c>
      <c r="I23" s="102">
        <f>IF(SUM(I24:I35)&lt;&gt;VLOOKUP($B23,MMWR_TRAD_AGG_ST_DISTRICT_COMP[],I$1,0),"ERROR",
VLOOKUP($B23,MMWR_TRAD_AGG_ST_DISTRICT_COMP[],I$1,0))</f>
        <v>27288</v>
      </c>
      <c r="J23" s="105">
        <f t="shared" si="1"/>
        <v>0.41701815514395746</v>
      </c>
      <c r="K23" s="102">
        <f>IF(SUM(K24:K35)&lt;&gt;VLOOKUP($B23,MMWR_TRAD_AGG_ST_DISTRICT_COMP[],K$1,0),"ERROR",
VLOOKUP($B23,MMWR_TRAD_AGG_ST_DISTRICT_COMP[],K$1,0))</f>
        <v>17234</v>
      </c>
      <c r="L23" s="102">
        <f>IF(SUM(L24:L35)&lt;&gt;VLOOKUP($B23,MMWR_TRAD_AGG_ST_DISTRICT_COMP[],L$1,0),"ERROR",
VLOOKUP($B23,MMWR_TRAD_AGG_ST_DISTRICT_COMP[],L$1,0))</f>
        <v>13539</v>
      </c>
      <c r="M23" s="105">
        <f t="shared" si="2"/>
        <v>0.78559823604502732</v>
      </c>
      <c r="N23" s="102">
        <f>IF(SUM(N24:N35)&lt;&gt;VLOOKUP($B23,MMWR_TRAD_AGG_ST_DISTRICT_COMP[],N$1,0),"ERROR",
VLOOKUP($B23,MMWR_TRAD_AGG_ST_DISTRICT_COMP[],N$1,0))</f>
        <v>22772</v>
      </c>
      <c r="O23" s="102">
        <f>IF(SUM(O24:O35)&lt;&gt;VLOOKUP($B23,MMWR_TRAD_AGG_ST_DISTRICT_COMP[],O$1,0),"ERROR",
VLOOKUP($B23,MMWR_TRAD_AGG_ST_DISTRICT_COMP[],O$1,0))</f>
        <v>15183</v>
      </c>
      <c r="P23" s="105">
        <f t="shared" si="3"/>
        <v>0.66673985596346386</v>
      </c>
      <c r="Q23" s="102">
        <f>IF(SUM(Q24:Q35)&lt;&gt;VLOOKUP($B23,MMWR_TRAD_AGG_ST_DISTRICT_COMP[],Q$1,0),"ERROR",
VLOOKUP($B23,MMWR_TRAD_AGG_ST_DISTRICT_COMP[],Q$1,0))</f>
        <v>5656</v>
      </c>
      <c r="R23" s="102">
        <f>IF(SUM(R24:R35)&lt;&gt;VLOOKUP($B23,MMWR_TRAD_AGG_ST_DISTRICT_COMP[],R$1,0),"ERROR",
VLOOKUP($B23,MMWR_TRAD_AGG_ST_DISTRICT_COMP[],R$1,0))</f>
        <v>1137</v>
      </c>
      <c r="S23" s="106">
        <f>SUM(S24:S35)</f>
        <v>50130</v>
      </c>
      <c r="T23" s="28"/>
    </row>
    <row r="24" spans="1:20" s="123" customFormat="1" x14ac:dyDescent="0.2">
      <c r="A24" s="92"/>
      <c r="B24" s="127" t="s">
        <v>393</v>
      </c>
      <c r="C24" s="109">
        <f>IFERROR(VLOOKUP($B24,MMWR_TRAD_AGG_STATE_COMP[],C$1,0),"ERROR")</f>
        <v>5213</v>
      </c>
      <c r="D24" s="110">
        <f>IFERROR(VLOOKUP($B24,MMWR_TRAD_AGG_STATE_COMP[],D$1,0),"ERROR")</f>
        <v>448.08095146749997</v>
      </c>
      <c r="E24" s="111">
        <f>IFERROR(VLOOKUP($B24,MMWR_TRAD_AGG_STATE_COMP[],E$1,0),"ERROR")</f>
        <v>7879</v>
      </c>
      <c r="F24" s="112">
        <f>IFERROR(VLOOKUP($B24,MMWR_TRAD_AGG_STATE_COMP[],F$1,0),"ERROR")</f>
        <v>1852</v>
      </c>
      <c r="G24" s="113">
        <f t="shared" si="0"/>
        <v>0.23505521005203706</v>
      </c>
      <c r="H24" s="111">
        <f>IFERROR(VLOOKUP($B24,MMWR_TRAD_AGG_STATE_COMP[],H$1,0),"ERROR")</f>
        <v>9550</v>
      </c>
      <c r="I24" s="112">
        <f>IFERROR(VLOOKUP($B24,MMWR_TRAD_AGG_STATE_COMP[],I$1,0),"ERROR")</f>
        <v>5114</v>
      </c>
      <c r="J24" s="114">
        <f t="shared" si="1"/>
        <v>0.53549738219895293</v>
      </c>
      <c r="K24" s="111">
        <f>IFERROR(VLOOKUP($B24,MMWR_TRAD_AGG_STATE_COMP[],K$1,0),"ERROR")</f>
        <v>2308</v>
      </c>
      <c r="L24" s="112">
        <f>IFERROR(VLOOKUP($B24,MMWR_TRAD_AGG_STATE_COMP[],L$1,0),"ERROR")</f>
        <v>2034</v>
      </c>
      <c r="M24" s="114">
        <f t="shared" si="2"/>
        <v>0.88128249566724437</v>
      </c>
      <c r="N24" s="111">
        <f>IFERROR(VLOOKUP($B24,MMWR_TRAD_AGG_STATE_COMP[],N$1,0),"ERROR")</f>
        <v>3318</v>
      </c>
      <c r="O24" s="112">
        <f>IFERROR(VLOOKUP($B24,MMWR_TRAD_AGG_STATE_COMP[],O$1,0),"ERROR")</f>
        <v>2067</v>
      </c>
      <c r="P24" s="114">
        <f t="shared" si="3"/>
        <v>0.62296564195298376</v>
      </c>
      <c r="Q24" s="115">
        <f>IFERROR(VLOOKUP($B24,MMWR_TRAD_AGG_STATE_COMP[],Q$1,0),"ERROR")</f>
        <v>1010</v>
      </c>
      <c r="R24" s="115">
        <f>IFERROR(VLOOKUP($B24,MMWR_TRAD_AGG_STATE_COMP[],R$1,0),"ERROR")</f>
        <v>220</v>
      </c>
      <c r="S24" s="115">
        <f>IFERROR(VLOOKUP($B24,MMWR_APP_STATE_COMP[],S$1,0),"ERROR")</f>
        <v>8417</v>
      </c>
      <c r="T24" s="28"/>
    </row>
    <row r="25" spans="1:20" s="123" customFormat="1" x14ac:dyDescent="0.2">
      <c r="A25" s="107"/>
      <c r="B25" s="127" t="s">
        <v>391</v>
      </c>
      <c r="C25" s="109">
        <f>IFERROR(VLOOKUP($B25,MMWR_TRAD_AGG_STATE_COMP[],C$1,0),"ERROR")</f>
        <v>4422</v>
      </c>
      <c r="D25" s="110">
        <f>IFERROR(VLOOKUP($B25,MMWR_TRAD_AGG_STATE_COMP[],D$1,0),"ERROR")</f>
        <v>617.23043871549999</v>
      </c>
      <c r="E25" s="111">
        <f>IFERROR(VLOOKUP($B25,MMWR_TRAD_AGG_STATE_COMP[],E$1,0),"ERROR")</f>
        <v>5081</v>
      </c>
      <c r="F25" s="112">
        <f>IFERROR(VLOOKUP($B25,MMWR_TRAD_AGG_STATE_COMP[],F$1,0),"ERROR")</f>
        <v>897</v>
      </c>
      <c r="G25" s="113">
        <f t="shared" si="0"/>
        <v>0.17654005117102933</v>
      </c>
      <c r="H25" s="111">
        <f>IFERROR(VLOOKUP($B25,MMWR_TRAD_AGG_STATE_COMP[],H$1,0),"ERROR")</f>
        <v>9329</v>
      </c>
      <c r="I25" s="112">
        <f>IFERROR(VLOOKUP($B25,MMWR_TRAD_AGG_STATE_COMP[],I$1,0),"ERROR")</f>
        <v>5237</v>
      </c>
      <c r="J25" s="114">
        <f t="shared" si="1"/>
        <v>0.56136777789688075</v>
      </c>
      <c r="K25" s="111">
        <f>IFERROR(VLOOKUP($B25,MMWR_TRAD_AGG_STATE_COMP[],K$1,0),"ERROR")</f>
        <v>2730</v>
      </c>
      <c r="L25" s="112">
        <f>IFERROR(VLOOKUP($B25,MMWR_TRAD_AGG_STATE_COMP[],L$1,0),"ERROR")</f>
        <v>2326</v>
      </c>
      <c r="M25" s="114">
        <f t="shared" si="2"/>
        <v>0.85201465201465199</v>
      </c>
      <c r="N25" s="111">
        <f>IFERROR(VLOOKUP($B25,MMWR_TRAD_AGG_STATE_COMP[],N$1,0),"ERROR")</f>
        <v>2996</v>
      </c>
      <c r="O25" s="112">
        <f>IFERROR(VLOOKUP($B25,MMWR_TRAD_AGG_STATE_COMP[],O$1,0),"ERROR")</f>
        <v>2263</v>
      </c>
      <c r="P25" s="114">
        <f t="shared" si="3"/>
        <v>0.75534045393858473</v>
      </c>
      <c r="Q25" s="115">
        <f>IFERROR(VLOOKUP($B25,MMWR_TRAD_AGG_STATE_COMP[],Q$1,0),"ERROR")</f>
        <v>745</v>
      </c>
      <c r="R25" s="115">
        <f>IFERROR(VLOOKUP($B25,MMWR_TRAD_AGG_STATE_COMP[],R$1,0),"ERROR")</f>
        <v>233</v>
      </c>
      <c r="S25" s="115">
        <f>IFERROR(VLOOKUP($B25,MMWR_APP_STATE_COMP[],S$1,0),"ERROR")</f>
        <v>8109</v>
      </c>
      <c r="T25" s="28"/>
    </row>
    <row r="26" spans="1:20" s="123" customFormat="1" x14ac:dyDescent="0.2">
      <c r="A26" s="107"/>
      <c r="B26" s="127" t="s">
        <v>398</v>
      </c>
      <c r="C26" s="109">
        <f>IFERROR(VLOOKUP($B26,MMWR_TRAD_AGG_STATE_COMP[],C$1,0),"ERROR")</f>
        <v>819</v>
      </c>
      <c r="D26" s="110">
        <f>IFERROR(VLOOKUP($B26,MMWR_TRAD_AGG_STATE_COMP[],D$1,0),"ERROR")</f>
        <v>186.49572649570001</v>
      </c>
      <c r="E26" s="111">
        <f>IFERROR(VLOOKUP($B26,MMWR_TRAD_AGG_STATE_COMP[],E$1,0),"ERROR")</f>
        <v>2677</v>
      </c>
      <c r="F26" s="112">
        <f>IFERROR(VLOOKUP($B26,MMWR_TRAD_AGG_STATE_COMP[],F$1,0),"ERROR")</f>
        <v>377</v>
      </c>
      <c r="G26" s="113">
        <f t="shared" si="0"/>
        <v>0.14082928651475532</v>
      </c>
      <c r="H26" s="111">
        <f>IFERROR(VLOOKUP($B26,MMWR_TRAD_AGG_STATE_COMP[],H$1,0),"ERROR")</f>
        <v>2420</v>
      </c>
      <c r="I26" s="112">
        <f>IFERROR(VLOOKUP($B26,MMWR_TRAD_AGG_STATE_COMP[],I$1,0),"ERROR")</f>
        <v>437</v>
      </c>
      <c r="J26" s="114">
        <f t="shared" si="1"/>
        <v>0.1805785123966942</v>
      </c>
      <c r="K26" s="111">
        <f>IFERROR(VLOOKUP($B26,MMWR_TRAD_AGG_STATE_COMP[],K$1,0),"ERROR")</f>
        <v>329</v>
      </c>
      <c r="L26" s="112">
        <f>IFERROR(VLOOKUP($B26,MMWR_TRAD_AGG_STATE_COMP[],L$1,0),"ERROR")</f>
        <v>212</v>
      </c>
      <c r="M26" s="114">
        <f t="shared" si="2"/>
        <v>0.64437689969604861</v>
      </c>
      <c r="N26" s="111">
        <f>IFERROR(VLOOKUP($B26,MMWR_TRAD_AGG_STATE_COMP[],N$1,0),"ERROR")</f>
        <v>565</v>
      </c>
      <c r="O26" s="112">
        <f>IFERROR(VLOOKUP($B26,MMWR_TRAD_AGG_STATE_COMP[],O$1,0),"ERROR")</f>
        <v>329</v>
      </c>
      <c r="P26" s="114">
        <f t="shared" si="3"/>
        <v>0.58230088495575216</v>
      </c>
      <c r="Q26" s="115">
        <f>IFERROR(VLOOKUP($B26,MMWR_TRAD_AGG_STATE_COMP[],Q$1,0),"ERROR")</f>
        <v>3</v>
      </c>
      <c r="R26" s="115">
        <f>IFERROR(VLOOKUP($B26,MMWR_TRAD_AGG_STATE_COMP[],R$1,0),"ERROR")</f>
        <v>10</v>
      </c>
      <c r="S26" s="115">
        <f>IFERROR(VLOOKUP($B26,MMWR_APP_STATE_COMP[],S$1,0),"ERROR")</f>
        <v>1496</v>
      </c>
      <c r="T26" s="28"/>
    </row>
    <row r="27" spans="1:20" s="123" customFormat="1" x14ac:dyDescent="0.2">
      <c r="A27" s="107"/>
      <c r="B27" s="127" t="s">
        <v>421</v>
      </c>
      <c r="C27" s="109">
        <f>IFERROR(VLOOKUP($B27,MMWR_TRAD_AGG_STATE_COMP[],C$1,0),"ERROR")</f>
        <v>1659</v>
      </c>
      <c r="D27" s="110">
        <f>IFERROR(VLOOKUP($B27,MMWR_TRAD_AGG_STATE_COMP[],D$1,0),"ERROR")</f>
        <v>228.6214587101</v>
      </c>
      <c r="E27" s="111">
        <f>IFERROR(VLOOKUP($B27,MMWR_TRAD_AGG_STATE_COMP[],E$1,0),"ERROR")</f>
        <v>2382</v>
      </c>
      <c r="F27" s="112">
        <f>IFERROR(VLOOKUP($B27,MMWR_TRAD_AGG_STATE_COMP[],F$1,0),"ERROR")</f>
        <v>400</v>
      </c>
      <c r="G27" s="113">
        <f t="shared" si="0"/>
        <v>0.16792611251049538</v>
      </c>
      <c r="H27" s="111">
        <f>IFERROR(VLOOKUP($B27,MMWR_TRAD_AGG_STATE_COMP[],H$1,0),"ERROR")</f>
        <v>3360</v>
      </c>
      <c r="I27" s="112">
        <f>IFERROR(VLOOKUP($B27,MMWR_TRAD_AGG_STATE_COMP[],I$1,0),"ERROR")</f>
        <v>1248</v>
      </c>
      <c r="J27" s="114">
        <f t="shared" si="1"/>
        <v>0.37142857142857144</v>
      </c>
      <c r="K27" s="111">
        <f>IFERROR(VLOOKUP($B27,MMWR_TRAD_AGG_STATE_COMP[],K$1,0),"ERROR")</f>
        <v>1074</v>
      </c>
      <c r="L27" s="112">
        <f>IFERROR(VLOOKUP($B27,MMWR_TRAD_AGG_STATE_COMP[],L$1,0),"ERROR")</f>
        <v>566</v>
      </c>
      <c r="M27" s="114">
        <f t="shared" si="2"/>
        <v>0.52700186219739298</v>
      </c>
      <c r="N27" s="111">
        <f>IFERROR(VLOOKUP($B27,MMWR_TRAD_AGG_STATE_COMP[],N$1,0),"ERROR")</f>
        <v>860</v>
      </c>
      <c r="O27" s="112">
        <f>IFERROR(VLOOKUP($B27,MMWR_TRAD_AGG_STATE_COMP[],O$1,0),"ERROR")</f>
        <v>517</v>
      </c>
      <c r="P27" s="114">
        <f t="shared" si="3"/>
        <v>0.60116279069767442</v>
      </c>
      <c r="Q27" s="115">
        <f>IFERROR(VLOOKUP($B27,MMWR_TRAD_AGG_STATE_COMP[],Q$1,0),"ERROR")</f>
        <v>5</v>
      </c>
      <c r="R27" s="115">
        <f>IFERROR(VLOOKUP($B27,MMWR_TRAD_AGG_STATE_COMP[],R$1,0),"ERROR")</f>
        <v>14</v>
      </c>
      <c r="S27" s="115">
        <f>IFERROR(VLOOKUP($B27,MMWR_APP_STATE_COMP[],S$1,0),"ERROR")</f>
        <v>1347</v>
      </c>
      <c r="T27" s="28"/>
    </row>
    <row r="28" spans="1:20" s="123" customFormat="1" x14ac:dyDescent="0.2">
      <c r="A28" s="107"/>
      <c r="B28" s="127" t="s">
        <v>394</v>
      </c>
      <c r="C28" s="109">
        <f>IFERROR(VLOOKUP($B28,MMWR_TRAD_AGG_STATE_COMP[],C$1,0),"ERROR")</f>
        <v>3040</v>
      </c>
      <c r="D28" s="110">
        <f>IFERROR(VLOOKUP($B28,MMWR_TRAD_AGG_STATE_COMP[],D$1,0),"ERROR")</f>
        <v>373.92105263159999</v>
      </c>
      <c r="E28" s="111">
        <f>IFERROR(VLOOKUP($B28,MMWR_TRAD_AGG_STATE_COMP[],E$1,0),"ERROR")</f>
        <v>8047</v>
      </c>
      <c r="F28" s="112">
        <f>IFERROR(VLOOKUP($B28,MMWR_TRAD_AGG_STATE_COMP[],F$1,0),"ERROR")</f>
        <v>1865</v>
      </c>
      <c r="G28" s="113">
        <f t="shared" si="0"/>
        <v>0.23176339008326086</v>
      </c>
      <c r="H28" s="111">
        <f>IFERROR(VLOOKUP($B28,MMWR_TRAD_AGG_STATE_COMP[],H$1,0),"ERROR")</f>
        <v>7784</v>
      </c>
      <c r="I28" s="112">
        <f>IFERROR(VLOOKUP($B28,MMWR_TRAD_AGG_STATE_COMP[],I$1,0),"ERROR")</f>
        <v>3735</v>
      </c>
      <c r="J28" s="114">
        <f t="shared" si="1"/>
        <v>0.47983042137718396</v>
      </c>
      <c r="K28" s="111">
        <f>IFERROR(VLOOKUP($B28,MMWR_TRAD_AGG_STATE_COMP[],K$1,0),"ERROR")</f>
        <v>2157</v>
      </c>
      <c r="L28" s="112">
        <f>IFERROR(VLOOKUP($B28,MMWR_TRAD_AGG_STATE_COMP[],L$1,0),"ERROR")</f>
        <v>1819</v>
      </c>
      <c r="M28" s="114">
        <f t="shared" si="2"/>
        <v>0.84330088085303667</v>
      </c>
      <c r="N28" s="111">
        <f>IFERROR(VLOOKUP($B28,MMWR_TRAD_AGG_STATE_COMP[],N$1,0),"ERROR")</f>
        <v>2817</v>
      </c>
      <c r="O28" s="112">
        <f>IFERROR(VLOOKUP($B28,MMWR_TRAD_AGG_STATE_COMP[],O$1,0),"ERROR")</f>
        <v>1589</v>
      </c>
      <c r="P28" s="114">
        <f t="shared" si="3"/>
        <v>0.56407525736599218</v>
      </c>
      <c r="Q28" s="115">
        <f>IFERROR(VLOOKUP($B28,MMWR_TRAD_AGG_STATE_COMP[],Q$1,0),"ERROR")</f>
        <v>1052</v>
      </c>
      <c r="R28" s="115">
        <f>IFERROR(VLOOKUP($B28,MMWR_TRAD_AGG_STATE_COMP[],R$1,0),"ERROR")</f>
        <v>231</v>
      </c>
      <c r="S28" s="115">
        <f>IFERROR(VLOOKUP($B28,MMWR_APP_STATE_COMP[],S$1,0),"ERROR")</f>
        <v>5037</v>
      </c>
      <c r="T28" s="28"/>
    </row>
    <row r="29" spans="1:20" s="123" customFormat="1" x14ac:dyDescent="0.2">
      <c r="A29" s="107"/>
      <c r="B29" s="127" t="s">
        <v>400</v>
      </c>
      <c r="C29" s="109">
        <f>IFERROR(VLOOKUP($B29,MMWR_TRAD_AGG_STATE_COMP[],C$1,0),"ERROR")</f>
        <v>1469</v>
      </c>
      <c r="D29" s="110">
        <f>IFERROR(VLOOKUP($B29,MMWR_TRAD_AGG_STATE_COMP[],D$1,0),"ERROR")</f>
        <v>179.48400272289999</v>
      </c>
      <c r="E29" s="111">
        <f>IFERROR(VLOOKUP($B29,MMWR_TRAD_AGG_STATE_COMP[],E$1,0),"ERROR")</f>
        <v>5199</v>
      </c>
      <c r="F29" s="112">
        <f>IFERROR(VLOOKUP($B29,MMWR_TRAD_AGG_STATE_COMP[],F$1,0),"ERROR")</f>
        <v>709</v>
      </c>
      <c r="G29" s="113">
        <f t="shared" si="0"/>
        <v>0.13637237930371227</v>
      </c>
      <c r="H29" s="111">
        <f>IFERROR(VLOOKUP($B29,MMWR_TRAD_AGG_STATE_COMP[],H$1,0),"ERROR")</f>
        <v>5263</v>
      </c>
      <c r="I29" s="112">
        <f>IFERROR(VLOOKUP($B29,MMWR_TRAD_AGG_STATE_COMP[],I$1,0),"ERROR")</f>
        <v>921</v>
      </c>
      <c r="J29" s="114">
        <f t="shared" si="1"/>
        <v>0.17499524985749573</v>
      </c>
      <c r="K29" s="111">
        <f>IFERROR(VLOOKUP($B29,MMWR_TRAD_AGG_STATE_COMP[],K$1,0),"ERROR")</f>
        <v>1053</v>
      </c>
      <c r="L29" s="112">
        <f>IFERROR(VLOOKUP($B29,MMWR_TRAD_AGG_STATE_COMP[],L$1,0),"ERROR")</f>
        <v>576</v>
      </c>
      <c r="M29" s="114">
        <f t="shared" si="2"/>
        <v>0.54700854700854706</v>
      </c>
      <c r="N29" s="111">
        <f>IFERROR(VLOOKUP($B29,MMWR_TRAD_AGG_STATE_COMP[],N$1,0),"ERROR")</f>
        <v>1182</v>
      </c>
      <c r="O29" s="112">
        <f>IFERROR(VLOOKUP($B29,MMWR_TRAD_AGG_STATE_COMP[],O$1,0),"ERROR")</f>
        <v>704</v>
      </c>
      <c r="P29" s="114">
        <f t="shared" si="3"/>
        <v>0.5956006768189509</v>
      </c>
      <c r="Q29" s="115">
        <f>IFERROR(VLOOKUP($B29,MMWR_TRAD_AGG_STATE_COMP[],Q$1,0),"ERROR")</f>
        <v>10</v>
      </c>
      <c r="R29" s="115">
        <f>IFERROR(VLOOKUP($B29,MMWR_TRAD_AGG_STATE_COMP[],R$1,0),"ERROR")</f>
        <v>5</v>
      </c>
      <c r="S29" s="115">
        <f>IFERROR(VLOOKUP($B29,MMWR_APP_STATE_COMP[],S$1,0),"ERROR")</f>
        <v>2071</v>
      </c>
      <c r="T29" s="28"/>
    </row>
    <row r="30" spans="1:20" s="123" customFormat="1" x14ac:dyDescent="0.2">
      <c r="A30" s="107"/>
      <c r="B30" s="127" t="s">
        <v>396</v>
      </c>
      <c r="C30" s="109">
        <f>IFERROR(VLOOKUP($B30,MMWR_TRAD_AGG_STATE_COMP[],C$1,0),"ERROR")</f>
        <v>3651</v>
      </c>
      <c r="D30" s="110">
        <f>IFERROR(VLOOKUP($B30,MMWR_TRAD_AGG_STATE_COMP[],D$1,0),"ERROR")</f>
        <v>240.7181594084</v>
      </c>
      <c r="E30" s="111">
        <f>IFERROR(VLOOKUP($B30,MMWR_TRAD_AGG_STATE_COMP[],E$1,0),"ERROR")</f>
        <v>6436</v>
      </c>
      <c r="F30" s="112">
        <f>IFERROR(VLOOKUP($B30,MMWR_TRAD_AGG_STATE_COMP[],F$1,0),"ERROR")</f>
        <v>1308</v>
      </c>
      <c r="G30" s="113">
        <f t="shared" si="0"/>
        <v>0.20323182100683654</v>
      </c>
      <c r="H30" s="111">
        <f>IFERROR(VLOOKUP($B30,MMWR_TRAD_AGG_STATE_COMP[],H$1,0),"ERROR")</f>
        <v>7703</v>
      </c>
      <c r="I30" s="112">
        <f>IFERROR(VLOOKUP($B30,MMWR_TRAD_AGG_STATE_COMP[],I$1,0),"ERROR")</f>
        <v>3198</v>
      </c>
      <c r="J30" s="114">
        <f t="shared" si="1"/>
        <v>0.41516292353628459</v>
      </c>
      <c r="K30" s="111">
        <f>IFERROR(VLOOKUP($B30,MMWR_TRAD_AGG_STATE_COMP[],K$1,0),"ERROR")</f>
        <v>2446</v>
      </c>
      <c r="L30" s="112">
        <f>IFERROR(VLOOKUP($B30,MMWR_TRAD_AGG_STATE_COMP[],L$1,0),"ERROR")</f>
        <v>2034</v>
      </c>
      <c r="M30" s="114">
        <f t="shared" si="2"/>
        <v>0.83156173344235484</v>
      </c>
      <c r="N30" s="111">
        <f>IFERROR(VLOOKUP($B30,MMWR_TRAD_AGG_STATE_COMP[],N$1,0),"ERROR")</f>
        <v>4600</v>
      </c>
      <c r="O30" s="112">
        <f>IFERROR(VLOOKUP($B30,MMWR_TRAD_AGG_STATE_COMP[],O$1,0),"ERROR")</f>
        <v>3379</v>
      </c>
      <c r="P30" s="114">
        <f t="shared" si="3"/>
        <v>0.73456521739130431</v>
      </c>
      <c r="Q30" s="115">
        <f>IFERROR(VLOOKUP($B30,MMWR_TRAD_AGG_STATE_COMP[],Q$1,0),"ERROR")</f>
        <v>990</v>
      </c>
      <c r="R30" s="115">
        <f>IFERROR(VLOOKUP($B30,MMWR_TRAD_AGG_STATE_COMP[],R$1,0),"ERROR")</f>
        <v>63</v>
      </c>
      <c r="S30" s="115">
        <f>IFERROR(VLOOKUP($B30,MMWR_APP_STATE_COMP[],S$1,0),"ERROR")</f>
        <v>6161</v>
      </c>
      <c r="T30" s="28"/>
    </row>
    <row r="31" spans="1:20" s="123" customFormat="1" x14ac:dyDescent="0.2">
      <c r="A31" s="107"/>
      <c r="B31" s="127" t="s">
        <v>399</v>
      </c>
      <c r="C31" s="109">
        <f>IFERROR(VLOOKUP($B31,MMWR_TRAD_AGG_STATE_COMP[],C$1,0),"ERROR")</f>
        <v>766</v>
      </c>
      <c r="D31" s="110">
        <f>IFERROR(VLOOKUP($B31,MMWR_TRAD_AGG_STATE_COMP[],D$1,0),"ERROR")</f>
        <v>175.95822454309999</v>
      </c>
      <c r="E31" s="111">
        <f>IFERROR(VLOOKUP($B31,MMWR_TRAD_AGG_STATE_COMP[],E$1,0),"ERROR")</f>
        <v>1920</v>
      </c>
      <c r="F31" s="112">
        <f>IFERROR(VLOOKUP($B31,MMWR_TRAD_AGG_STATE_COMP[],F$1,0),"ERROR")</f>
        <v>237</v>
      </c>
      <c r="G31" s="113">
        <f t="shared" si="0"/>
        <v>0.12343750000000001</v>
      </c>
      <c r="H31" s="111">
        <f>IFERROR(VLOOKUP($B31,MMWR_TRAD_AGG_STATE_COMP[],H$1,0),"ERROR")</f>
        <v>2226</v>
      </c>
      <c r="I31" s="112">
        <f>IFERROR(VLOOKUP($B31,MMWR_TRAD_AGG_STATE_COMP[],I$1,0),"ERROR")</f>
        <v>454</v>
      </c>
      <c r="J31" s="114">
        <f t="shared" si="1"/>
        <v>0.20395327942497754</v>
      </c>
      <c r="K31" s="111">
        <f>IFERROR(VLOOKUP($B31,MMWR_TRAD_AGG_STATE_COMP[],K$1,0),"ERROR")</f>
        <v>707</v>
      </c>
      <c r="L31" s="112">
        <f>IFERROR(VLOOKUP($B31,MMWR_TRAD_AGG_STATE_COMP[],L$1,0),"ERROR")</f>
        <v>445</v>
      </c>
      <c r="M31" s="114">
        <f t="shared" si="2"/>
        <v>0.62942008486562939</v>
      </c>
      <c r="N31" s="111">
        <f>IFERROR(VLOOKUP($B31,MMWR_TRAD_AGG_STATE_COMP[],N$1,0),"ERROR")</f>
        <v>705</v>
      </c>
      <c r="O31" s="112">
        <f>IFERROR(VLOOKUP($B31,MMWR_TRAD_AGG_STATE_COMP[],O$1,0),"ERROR")</f>
        <v>356</v>
      </c>
      <c r="P31" s="114">
        <f t="shared" si="3"/>
        <v>0.50496453900709215</v>
      </c>
      <c r="Q31" s="115">
        <f>IFERROR(VLOOKUP($B31,MMWR_TRAD_AGG_STATE_COMP[],Q$1,0),"ERROR")</f>
        <v>5</v>
      </c>
      <c r="R31" s="115">
        <f>IFERROR(VLOOKUP($B31,MMWR_TRAD_AGG_STATE_COMP[],R$1,0),"ERROR")</f>
        <v>14</v>
      </c>
      <c r="S31" s="115">
        <f>IFERROR(VLOOKUP($B31,MMWR_APP_STATE_COMP[],S$1,0),"ERROR")</f>
        <v>1054</v>
      </c>
      <c r="T31" s="28"/>
    </row>
    <row r="32" spans="1:20" s="123" customFormat="1" x14ac:dyDescent="0.2">
      <c r="A32" s="107"/>
      <c r="B32" s="127" t="s">
        <v>418</v>
      </c>
      <c r="C32" s="109">
        <f>IFERROR(VLOOKUP($B32,MMWR_TRAD_AGG_STATE_COMP[],C$1,0),"ERROR")</f>
        <v>220</v>
      </c>
      <c r="D32" s="110">
        <f>IFERROR(VLOOKUP($B32,MMWR_TRAD_AGG_STATE_COMP[],D$1,0),"ERROR")</f>
        <v>167.91363636360001</v>
      </c>
      <c r="E32" s="111">
        <f>IFERROR(VLOOKUP($B32,MMWR_TRAD_AGG_STATE_COMP[],E$1,0),"ERROR")</f>
        <v>594</v>
      </c>
      <c r="F32" s="112">
        <f>IFERROR(VLOOKUP($B32,MMWR_TRAD_AGG_STATE_COMP[],F$1,0),"ERROR")</f>
        <v>87</v>
      </c>
      <c r="G32" s="113">
        <f t="shared" si="0"/>
        <v>0.14646464646464646</v>
      </c>
      <c r="H32" s="111">
        <f>IFERROR(VLOOKUP($B32,MMWR_TRAD_AGG_STATE_COMP[],H$1,0),"ERROR")</f>
        <v>843</v>
      </c>
      <c r="I32" s="112">
        <f>IFERROR(VLOOKUP($B32,MMWR_TRAD_AGG_STATE_COMP[],I$1,0),"ERROR")</f>
        <v>105</v>
      </c>
      <c r="J32" s="114">
        <f t="shared" si="1"/>
        <v>0.12455516014234876</v>
      </c>
      <c r="K32" s="111">
        <f>IFERROR(VLOOKUP($B32,MMWR_TRAD_AGG_STATE_COMP[],K$1,0),"ERROR")</f>
        <v>152</v>
      </c>
      <c r="L32" s="112">
        <f>IFERROR(VLOOKUP($B32,MMWR_TRAD_AGG_STATE_COMP[],L$1,0),"ERROR")</f>
        <v>73</v>
      </c>
      <c r="M32" s="114">
        <f t="shared" si="2"/>
        <v>0.48026315789473684</v>
      </c>
      <c r="N32" s="111">
        <f>IFERROR(VLOOKUP($B32,MMWR_TRAD_AGG_STATE_COMP[],N$1,0),"ERROR")</f>
        <v>154</v>
      </c>
      <c r="O32" s="112">
        <f>IFERROR(VLOOKUP($B32,MMWR_TRAD_AGG_STATE_COMP[],O$1,0),"ERROR")</f>
        <v>98</v>
      </c>
      <c r="P32" s="114">
        <f t="shared" si="3"/>
        <v>0.63636363636363635</v>
      </c>
      <c r="Q32" s="115">
        <f>IFERROR(VLOOKUP($B32,MMWR_TRAD_AGG_STATE_COMP[],Q$1,0),"ERROR")</f>
        <v>1</v>
      </c>
      <c r="R32" s="115">
        <f>IFERROR(VLOOKUP($B32,MMWR_TRAD_AGG_STATE_COMP[],R$1,0),"ERROR")</f>
        <v>2</v>
      </c>
      <c r="S32" s="115">
        <f>IFERROR(VLOOKUP($B32,MMWR_APP_STATE_COMP[],S$1,0),"ERROR")</f>
        <v>455</v>
      </c>
      <c r="T32" s="28"/>
    </row>
    <row r="33" spans="1:20" s="123" customFormat="1" x14ac:dyDescent="0.2">
      <c r="A33" s="107"/>
      <c r="B33" s="127" t="s">
        <v>390</v>
      </c>
      <c r="C33" s="109">
        <f>IFERROR(VLOOKUP($B33,MMWR_TRAD_AGG_STATE_COMP[],C$1,0),"ERROR")</f>
        <v>4670</v>
      </c>
      <c r="D33" s="110">
        <f>IFERROR(VLOOKUP($B33,MMWR_TRAD_AGG_STATE_COMP[],D$1,0),"ERROR")</f>
        <v>519.58501070659997</v>
      </c>
      <c r="E33" s="111">
        <f>IFERROR(VLOOKUP($B33,MMWR_TRAD_AGG_STATE_COMP[],E$1,0),"ERROR")</f>
        <v>8383</v>
      </c>
      <c r="F33" s="112">
        <f>IFERROR(VLOOKUP($B33,MMWR_TRAD_AGG_STATE_COMP[],F$1,0),"ERROR")</f>
        <v>1592</v>
      </c>
      <c r="G33" s="113">
        <f t="shared" si="0"/>
        <v>0.18990814744125015</v>
      </c>
      <c r="H33" s="111">
        <f>IFERROR(VLOOKUP($B33,MMWR_TRAD_AGG_STATE_COMP[],H$1,0),"ERROR")</f>
        <v>9869</v>
      </c>
      <c r="I33" s="112">
        <f>IFERROR(VLOOKUP($B33,MMWR_TRAD_AGG_STATE_COMP[],I$1,0),"ERROR")</f>
        <v>4615</v>
      </c>
      <c r="J33" s="114">
        <f t="shared" si="1"/>
        <v>0.46762589928057552</v>
      </c>
      <c r="K33" s="111">
        <f>IFERROR(VLOOKUP($B33,MMWR_TRAD_AGG_STATE_COMP[],K$1,0),"ERROR")</f>
        <v>3014</v>
      </c>
      <c r="L33" s="112">
        <f>IFERROR(VLOOKUP($B33,MMWR_TRAD_AGG_STATE_COMP[],L$1,0),"ERROR")</f>
        <v>2688</v>
      </c>
      <c r="M33" s="114">
        <f t="shared" si="2"/>
        <v>0.8918380889183809</v>
      </c>
      <c r="N33" s="111">
        <f>IFERROR(VLOOKUP($B33,MMWR_TRAD_AGG_STATE_COMP[],N$1,0),"ERROR")</f>
        <v>4328</v>
      </c>
      <c r="O33" s="112">
        <f>IFERROR(VLOOKUP($B33,MMWR_TRAD_AGG_STATE_COMP[],O$1,0),"ERROR")</f>
        <v>3123</v>
      </c>
      <c r="P33" s="114">
        <f t="shared" si="3"/>
        <v>0.72158040665434375</v>
      </c>
      <c r="Q33" s="115">
        <f>IFERROR(VLOOKUP($B33,MMWR_TRAD_AGG_STATE_COMP[],Q$1,0),"ERROR")</f>
        <v>1168</v>
      </c>
      <c r="R33" s="115">
        <f>IFERROR(VLOOKUP($B33,MMWR_TRAD_AGG_STATE_COMP[],R$1,0),"ERROR")</f>
        <v>339</v>
      </c>
      <c r="S33" s="115">
        <f>IFERROR(VLOOKUP($B33,MMWR_APP_STATE_COMP[],S$1,0),"ERROR")</f>
        <v>12604</v>
      </c>
      <c r="T33" s="28"/>
    </row>
    <row r="34" spans="1:20" s="123" customFormat="1" x14ac:dyDescent="0.2">
      <c r="A34" s="107"/>
      <c r="B34" s="127" t="s">
        <v>419</v>
      </c>
      <c r="C34" s="109">
        <f>IFERROR(VLOOKUP($B34,MMWR_TRAD_AGG_STATE_COMP[],C$1,0),"ERROR")</f>
        <v>355</v>
      </c>
      <c r="D34" s="110">
        <f>IFERROR(VLOOKUP($B34,MMWR_TRAD_AGG_STATE_COMP[],D$1,0),"ERROR")</f>
        <v>158.28450704229999</v>
      </c>
      <c r="E34" s="111">
        <f>IFERROR(VLOOKUP($B34,MMWR_TRAD_AGG_STATE_COMP[],E$1,0),"ERROR")</f>
        <v>1043</v>
      </c>
      <c r="F34" s="112">
        <f>IFERROR(VLOOKUP($B34,MMWR_TRAD_AGG_STATE_COMP[],F$1,0),"ERROR")</f>
        <v>256</v>
      </c>
      <c r="G34" s="113">
        <f t="shared" si="0"/>
        <v>0.24544582933844677</v>
      </c>
      <c r="H34" s="111">
        <f>IFERROR(VLOOKUP($B34,MMWR_TRAD_AGG_STATE_COMP[],H$1,0),"ERROR")</f>
        <v>1174</v>
      </c>
      <c r="I34" s="112">
        <f>IFERROR(VLOOKUP($B34,MMWR_TRAD_AGG_STATE_COMP[],I$1,0),"ERROR")</f>
        <v>134</v>
      </c>
      <c r="J34" s="114">
        <f t="shared" si="1"/>
        <v>0.11413969335604771</v>
      </c>
      <c r="K34" s="111">
        <f>IFERROR(VLOOKUP($B34,MMWR_TRAD_AGG_STATE_COMP[],K$1,0),"ERROR")</f>
        <v>329</v>
      </c>
      <c r="L34" s="112">
        <f>IFERROR(VLOOKUP($B34,MMWR_TRAD_AGG_STATE_COMP[],L$1,0),"ERROR")</f>
        <v>116</v>
      </c>
      <c r="M34" s="114">
        <f t="shared" si="2"/>
        <v>0.35258358662613981</v>
      </c>
      <c r="N34" s="111">
        <f>IFERROR(VLOOKUP($B34,MMWR_TRAD_AGG_STATE_COMP[],N$1,0),"ERROR")</f>
        <v>169</v>
      </c>
      <c r="O34" s="112">
        <f>IFERROR(VLOOKUP($B34,MMWR_TRAD_AGG_STATE_COMP[],O$1,0),"ERROR")</f>
        <v>95</v>
      </c>
      <c r="P34" s="114">
        <f t="shared" si="3"/>
        <v>0.56213017751479288</v>
      </c>
      <c r="Q34" s="115">
        <f>IFERROR(VLOOKUP($B34,MMWR_TRAD_AGG_STATE_COMP[],Q$1,0),"ERROR")</f>
        <v>3</v>
      </c>
      <c r="R34" s="115">
        <f>IFERROR(VLOOKUP($B34,MMWR_TRAD_AGG_STATE_COMP[],R$1,0),"ERROR")</f>
        <v>0</v>
      </c>
      <c r="S34" s="115">
        <f>IFERROR(VLOOKUP($B34,MMWR_APP_STATE_COMP[],S$1,0),"ERROR")</f>
        <v>197</v>
      </c>
      <c r="T34" s="28"/>
    </row>
    <row r="35" spans="1:20" s="123" customFormat="1" x14ac:dyDescent="0.2">
      <c r="A35" s="107"/>
      <c r="B35" s="127" t="s">
        <v>395</v>
      </c>
      <c r="C35" s="109">
        <f>IFERROR(VLOOKUP($B35,MMWR_TRAD_AGG_STATE_COMP[],C$1,0),"ERROR")</f>
        <v>3053</v>
      </c>
      <c r="D35" s="110">
        <f>IFERROR(VLOOKUP($B35,MMWR_TRAD_AGG_STATE_COMP[],D$1,0),"ERROR")</f>
        <v>225.3039633148</v>
      </c>
      <c r="E35" s="111">
        <f>IFERROR(VLOOKUP($B35,MMWR_TRAD_AGG_STATE_COMP[],E$1,0),"ERROR")</f>
        <v>4065</v>
      </c>
      <c r="F35" s="112">
        <f>IFERROR(VLOOKUP($B35,MMWR_TRAD_AGG_STATE_COMP[],F$1,0),"ERROR")</f>
        <v>659</v>
      </c>
      <c r="G35" s="113">
        <f t="shared" si="0"/>
        <v>0.16211562115621156</v>
      </c>
      <c r="H35" s="111">
        <f>IFERROR(VLOOKUP($B35,MMWR_TRAD_AGG_STATE_COMP[],H$1,0),"ERROR")</f>
        <v>5915</v>
      </c>
      <c r="I35" s="112">
        <f>IFERROR(VLOOKUP($B35,MMWR_TRAD_AGG_STATE_COMP[],I$1,0),"ERROR")</f>
        <v>2090</v>
      </c>
      <c r="J35" s="114">
        <f t="shared" si="1"/>
        <v>0.35333896872358411</v>
      </c>
      <c r="K35" s="111">
        <f>IFERROR(VLOOKUP($B35,MMWR_TRAD_AGG_STATE_COMP[],K$1,0),"ERROR")</f>
        <v>935</v>
      </c>
      <c r="L35" s="112">
        <f>IFERROR(VLOOKUP($B35,MMWR_TRAD_AGG_STATE_COMP[],L$1,0),"ERROR")</f>
        <v>650</v>
      </c>
      <c r="M35" s="114">
        <f t="shared" si="2"/>
        <v>0.69518716577540107</v>
      </c>
      <c r="N35" s="111">
        <f>IFERROR(VLOOKUP($B35,MMWR_TRAD_AGG_STATE_COMP[],N$1,0),"ERROR")</f>
        <v>1078</v>
      </c>
      <c r="O35" s="112">
        <f>IFERROR(VLOOKUP($B35,MMWR_TRAD_AGG_STATE_COMP[],O$1,0),"ERROR")</f>
        <v>663</v>
      </c>
      <c r="P35" s="114">
        <f t="shared" si="3"/>
        <v>0.61502782931354361</v>
      </c>
      <c r="Q35" s="115">
        <f>IFERROR(VLOOKUP($B35,MMWR_TRAD_AGG_STATE_COMP[],Q$1,0),"ERROR")</f>
        <v>664</v>
      </c>
      <c r="R35" s="115">
        <f>IFERROR(VLOOKUP($B35,MMWR_TRAD_AGG_STATE_COMP[],R$1,0),"ERROR")</f>
        <v>6</v>
      </c>
      <c r="S35" s="115">
        <f>IFERROR(VLOOKUP($B35,MMWR_APP_STATE_COMP[],S$1,0),"ERROR")</f>
        <v>3182</v>
      </c>
      <c r="T35" s="28"/>
    </row>
    <row r="36" spans="1:20" s="123" customFormat="1" x14ac:dyDescent="0.2">
      <c r="A36" s="28"/>
      <c r="B36" s="126" t="s">
        <v>384</v>
      </c>
      <c r="C36" s="102">
        <f>IF(SUM(C37:C45)&lt;&gt;VLOOKUP($B36,MMWR_TRAD_AGG_ST_DISTRICT_COMP[],C$1,0),"ERROR",
VLOOKUP($B36,MMWR_TRAD_AGG_ST_DISTRICT_COMP[],C$1,0))</f>
        <v>40831</v>
      </c>
      <c r="D36" s="103">
        <f>IFERROR(VLOOKUP($B36,MMWR_TRAD_AGG_ST_DISTRICT_COMP[],D$1,0),"ERROR")</f>
        <v>334.25020205240003</v>
      </c>
      <c r="E36" s="102">
        <f>IFERROR(VLOOKUP($B36,MMWR_TRAD_AGG_ST_DISTRICT_COMP[],E$1,0),"ERROR")</f>
        <v>66512</v>
      </c>
      <c r="F36" s="102">
        <f>IFERROR(VLOOKUP($B36,MMWR_TRAD_AGG_ST_DISTRICT_COMP[],F$1,0),"ERROR")</f>
        <v>12828</v>
      </c>
      <c r="G36" s="104">
        <f t="shared" si="0"/>
        <v>0.19286745248977627</v>
      </c>
      <c r="H36" s="102">
        <f>IFERROR(VLOOKUP($B36,MMWR_TRAD_AGG_ST_DISTRICT_COMP[],H$1,0),"ERROR")</f>
        <v>80752</v>
      </c>
      <c r="I36" s="102">
        <f>IFERROR(VLOOKUP($B36,MMWR_TRAD_AGG_ST_DISTRICT_COMP[],I$1,0),"ERROR")</f>
        <v>36084</v>
      </c>
      <c r="J36" s="105">
        <f t="shared" si="1"/>
        <v>0.44684961363186049</v>
      </c>
      <c r="K36" s="102">
        <f>IFERROR(VLOOKUP($B36,MMWR_TRAD_AGG_ST_DISTRICT_COMP[],K$1,0),"ERROR")</f>
        <v>21492</v>
      </c>
      <c r="L36" s="102">
        <f>IFERROR(VLOOKUP($B36,MMWR_TRAD_AGG_ST_DISTRICT_COMP[],L$1,0),"ERROR")</f>
        <v>15374</v>
      </c>
      <c r="M36" s="105">
        <f t="shared" si="2"/>
        <v>0.71533593895402936</v>
      </c>
      <c r="N36" s="102">
        <f>IFERROR(VLOOKUP($B36,MMWR_TRAD_AGG_ST_DISTRICT_COMP[],N$1,0),"ERROR")</f>
        <v>32854</v>
      </c>
      <c r="O36" s="102">
        <f>IFERROR(VLOOKUP($B36,MMWR_TRAD_AGG_ST_DISTRICT_COMP[],O$1,0),"ERROR")</f>
        <v>20064</v>
      </c>
      <c r="P36" s="105">
        <f t="shared" si="3"/>
        <v>0.61070189322456936</v>
      </c>
      <c r="Q36" s="102">
        <f>IFERROR(VLOOKUP($B36,MMWR_TRAD_AGG_ST_DISTRICT_COMP[],Q$1,0),"ERROR")</f>
        <v>1333</v>
      </c>
      <c r="R36" s="106">
        <f>IFERROR(VLOOKUP($B36,MMWR_TRAD_AGG_ST_DISTRICT_COMP[],R$1,0),"ERROR")</f>
        <v>1145</v>
      </c>
      <c r="S36" s="106">
        <f>SUM(S37:S45)</f>
        <v>70301</v>
      </c>
      <c r="T36" s="28"/>
    </row>
    <row r="37" spans="1:20" s="123" customFormat="1" x14ac:dyDescent="0.2">
      <c r="A37" s="28"/>
      <c r="B37" s="127" t="s">
        <v>410</v>
      </c>
      <c r="C37" s="109">
        <f>IFERROR(VLOOKUP($B37,MMWR_TRAD_AGG_STATE_COMP[],C$1,0),"ERROR")</f>
        <v>3421</v>
      </c>
      <c r="D37" s="110">
        <f>IFERROR(VLOOKUP($B37,MMWR_TRAD_AGG_STATE_COMP[],D$1,0),"ERROR")</f>
        <v>267.94709149369999</v>
      </c>
      <c r="E37" s="111">
        <f>IFERROR(VLOOKUP($B37,MMWR_TRAD_AGG_STATE_COMP[],E$1,0),"ERROR")</f>
        <v>3607</v>
      </c>
      <c r="F37" s="112">
        <f>IFERROR(VLOOKUP($B37,MMWR_TRAD_AGG_STATE_COMP[],F$1,0),"ERROR")</f>
        <v>493</v>
      </c>
      <c r="G37" s="113">
        <f t="shared" si="0"/>
        <v>0.136678680343776</v>
      </c>
      <c r="H37" s="111">
        <f>IFERROR(VLOOKUP($B37,MMWR_TRAD_AGG_STATE_COMP[],H$1,0),"ERROR")</f>
        <v>6328</v>
      </c>
      <c r="I37" s="112">
        <f>IFERROR(VLOOKUP($B37,MMWR_TRAD_AGG_STATE_COMP[],I$1,0),"ERROR")</f>
        <v>2592</v>
      </c>
      <c r="J37" s="114">
        <f t="shared" si="1"/>
        <v>0.40960809102402024</v>
      </c>
      <c r="K37" s="111">
        <f>IFERROR(VLOOKUP($B37,MMWR_TRAD_AGG_STATE_COMP[],K$1,0),"ERROR")</f>
        <v>2295</v>
      </c>
      <c r="L37" s="112">
        <f>IFERROR(VLOOKUP($B37,MMWR_TRAD_AGG_STATE_COMP[],L$1,0),"ERROR")</f>
        <v>1596</v>
      </c>
      <c r="M37" s="114">
        <f t="shared" si="2"/>
        <v>0.69542483660130716</v>
      </c>
      <c r="N37" s="111">
        <f>IFERROR(VLOOKUP($B37,MMWR_TRAD_AGG_STATE_COMP[],N$1,0),"ERROR")</f>
        <v>2724</v>
      </c>
      <c r="O37" s="112">
        <f>IFERROR(VLOOKUP($B37,MMWR_TRAD_AGG_STATE_COMP[],O$1,0),"ERROR")</f>
        <v>1746</v>
      </c>
      <c r="P37" s="114">
        <f t="shared" si="3"/>
        <v>0.6409691629955947</v>
      </c>
      <c r="Q37" s="115">
        <f>IFERROR(VLOOKUP($B37,MMWR_TRAD_AGG_STATE_COMP[],Q$1,0),"ERROR")</f>
        <v>457</v>
      </c>
      <c r="R37" s="115">
        <f>IFERROR(VLOOKUP($B37,MMWR_TRAD_AGG_STATE_COMP[],R$1,0),"ERROR")</f>
        <v>104</v>
      </c>
      <c r="S37" s="115">
        <f>IFERROR(VLOOKUP($B37,MMWR_APP_STATE_COMP[],S$1,0),"ERROR")</f>
        <v>5351</v>
      </c>
      <c r="T37" s="28"/>
    </row>
    <row r="38" spans="1:20" s="123" customFormat="1" x14ac:dyDescent="0.2">
      <c r="A38" s="28"/>
      <c r="B38" s="127" t="s">
        <v>402</v>
      </c>
      <c r="C38" s="109">
        <f>IFERROR(VLOOKUP($B38,MMWR_TRAD_AGG_STATE_COMP[],C$1,0),"ERROR")</f>
        <v>5120</v>
      </c>
      <c r="D38" s="110">
        <f>IFERROR(VLOOKUP($B38,MMWR_TRAD_AGG_STATE_COMP[],D$1,0),"ERROR")</f>
        <v>380.34687500000001</v>
      </c>
      <c r="E38" s="111">
        <f>IFERROR(VLOOKUP($B38,MMWR_TRAD_AGG_STATE_COMP[],E$1,0),"ERROR")</f>
        <v>6055</v>
      </c>
      <c r="F38" s="112">
        <f>IFERROR(VLOOKUP($B38,MMWR_TRAD_AGG_STATE_COMP[],F$1,0),"ERROR")</f>
        <v>1258</v>
      </c>
      <c r="G38" s="113">
        <f t="shared" ref="G38:G64" si="4">IFERROR(F38/E38,"0%")</f>
        <v>0.20776218001651528</v>
      </c>
      <c r="H38" s="111">
        <f>IFERROR(VLOOKUP($B38,MMWR_TRAD_AGG_STATE_COMP[],H$1,0),"ERROR")</f>
        <v>10141</v>
      </c>
      <c r="I38" s="112">
        <f>IFERROR(VLOOKUP($B38,MMWR_TRAD_AGG_STATE_COMP[],I$1,0),"ERROR")</f>
        <v>4903</v>
      </c>
      <c r="J38" s="114">
        <f t="shared" ref="J38:J64" si="5">IFERROR(I38/H38,"0%")</f>
        <v>0.48348289123360616</v>
      </c>
      <c r="K38" s="111">
        <f>IFERROR(VLOOKUP($B38,MMWR_TRAD_AGG_STATE_COMP[],K$1,0),"ERROR")</f>
        <v>3943</v>
      </c>
      <c r="L38" s="112">
        <f>IFERROR(VLOOKUP($B38,MMWR_TRAD_AGG_STATE_COMP[],L$1,0),"ERROR")</f>
        <v>3253</v>
      </c>
      <c r="M38" s="114">
        <f t="shared" ref="M38:M64" si="6">IFERROR(L38/K38,"0%")</f>
        <v>0.82500634034998732</v>
      </c>
      <c r="N38" s="111">
        <f>IFERROR(VLOOKUP($B38,MMWR_TRAD_AGG_STATE_COMP[],N$1,0),"ERROR")</f>
        <v>1794</v>
      </c>
      <c r="O38" s="112">
        <f>IFERROR(VLOOKUP($B38,MMWR_TRAD_AGG_STATE_COMP[],O$1,0),"ERROR")</f>
        <v>1218</v>
      </c>
      <c r="P38" s="114">
        <f t="shared" ref="P38:P64" si="7">IFERROR(O38/N38,"0%")</f>
        <v>0.67892976588628762</v>
      </c>
      <c r="Q38" s="115">
        <f>IFERROR(VLOOKUP($B38,MMWR_TRAD_AGG_STATE_COMP[],Q$1,0),"ERROR")</f>
        <v>4</v>
      </c>
      <c r="R38" s="115">
        <f>IFERROR(VLOOKUP($B38,MMWR_TRAD_AGG_STATE_COMP[],R$1,0),"ERROR")</f>
        <v>56</v>
      </c>
      <c r="S38" s="115">
        <f>IFERROR(VLOOKUP($B38,MMWR_APP_STATE_COMP[],S$1,0),"ERROR")</f>
        <v>6681</v>
      </c>
      <c r="T38" s="28"/>
    </row>
    <row r="39" spans="1:20" s="123" customFormat="1" x14ac:dyDescent="0.2">
      <c r="A39" s="28"/>
      <c r="B39" s="127" t="s">
        <v>386</v>
      </c>
      <c r="C39" s="109">
        <f>IFERROR(VLOOKUP($B39,MMWR_TRAD_AGG_STATE_COMP[],C$1,0),"ERROR")</f>
        <v>3896</v>
      </c>
      <c r="D39" s="110">
        <f>IFERROR(VLOOKUP($B39,MMWR_TRAD_AGG_STATE_COMP[],D$1,0),"ERROR")</f>
        <v>412.55518480490002</v>
      </c>
      <c r="E39" s="111">
        <f>IFERROR(VLOOKUP($B39,MMWR_TRAD_AGG_STATE_COMP[],E$1,0),"ERROR")</f>
        <v>5505</v>
      </c>
      <c r="F39" s="112">
        <f>IFERROR(VLOOKUP($B39,MMWR_TRAD_AGG_STATE_COMP[],F$1,0),"ERROR")</f>
        <v>1079</v>
      </c>
      <c r="G39" s="113">
        <f t="shared" si="4"/>
        <v>0.19600363306085378</v>
      </c>
      <c r="H39" s="111">
        <f>IFERROR(VLOOKUP($B39,MMWR_TRAD_AGG_STATE_COMP[],H$1,0),"ERROR")</f>
        <v>7443</v>
      </c>
      <c r="I39" s="112">
        <f>IFERROR(VLOOKUP($B39,MMWR_TRAD_AGG_STATE_COMP[],I$1,0),"ERROR")</f>
        <v>3628</v>
      </c>
      <c r="J39" s="114">
        <f t="shared" si="5"/>
        <v>0.48743786107752252</v>
      </c>
      <c r="K39" s="111">
        <f>IFERROR(VLOOKUP($B39,MMWR_TRAD_AGG_STATE_COMP[],K$1,0),"ERROR")</f>
        <v>1656</v>
      </c>
      <c r="L39" s="112">
        <f>IFERROR(VLOOKUP($B39,MMWR_TRAD_AGG_STATE_COMP[],L$1,0),"ERROR")</f>
        <v>1155</v>
      </c>
      <c r="M39" s="114">
        <f t="shared" si="6"/>
        <v>0.69746376811594202</v>
      </c>
      <c r="N39" s="111">
        <f>IFERROR(VLOOKUP($B39,MMWR_TRAD_AGG_STATE_COMP[],N$1,0),"ERROR")</f>
        <v>3097</v>
      </c>
      <c r="O39" s="112">
        <f>IFERROR(VLOOKUP($B39,MMWR_TRAD_AGG_STATE_COMP[],O$1,0),"ERROR")</f>
        <v>2067</v>
      </c>
      <c r="P39" s="114">
        <f t="shared" si="7"/>
        <v>0.66742008395221186</v>
      </c>
      <c r="Q39" s="115">
        <f>IFERROR(VLOOKUP($B39,MMWR_TRAD_AGG_STATE_COMP[],Q$1,0),"ERROR")</f>
        <v>356</v>
      </c>
      <c r="R39" s="115">
        <f>IFERROR(VLOOKUP($B39,MMWR_TRAD_AGG_STATE_COMP[],R$1,0),"ERROR")</f>
        <v>271</v>
      </c>
      <c r="S39" s="115">
        <f>IFERROR(VLOOKUP($B39,MMWR_APP_STATE_COMP[],S$1,0),"ERROR")</f>
        <v>6002</v>
      </c>
      <c r="T39" s="28"/>
    </row>
    <row r="40" spans="1:20" s="123" customFormat="1" x14ac:dyDescent="0.2">
      <c r="A40" s="28"/>
      <c r="B40" s="127" t="s">
        <v>388</v>
      </c>
      <c r="C40" s="109">
        <f>IFERROR(VLOOKUP($B40,MMWR_TRAD_AGG_STATE_COMP[],C$1,0),"ERROR")</f>
        <v>3191</v>
      </c>
      <c r="D40" s="110">
        <f>IFERROR(VLOOKUP($B40,MMWR_TRAD_AGG_STATE_COMP[],D$1,0),"ERROR")</f>
        <v>396.21121905360002</v>
      </c>
      <c r="E40" s="111">
        <f>IFERROR(VLOOKUP($B40,MMWR_TRAD_AGG_STATE_COMP[],E$1,0),"ERROR")</f>
        <v>4833</v>
      </c>
      <c r="F40" s="112">
        <f>IFERROR(VLOOKUP($B40,MMWR_TRAD_AGG_STATE_COMP[],F$1,0),"ERROR")</f>
        <v>1440</v>
      </c>
      <c r="G40" s="113">
        <f t="shared" si="4"/>
        <v>0.297951582867784</v>
      </c>
      <c r="H40" s="111">
        <f>IFERROR(VLOOKUP($B40,MMWR_TRAD_AGG_STATE_COMP[],H$1,0),"ERROR")</f>
        <v>6901</v>
      </c>
      <c r="I40" s="112">
        <f>IFERROR(VLOOKUP($B40,MMWR_TRAD_AGG_STATE_COMP[],I$1,0),"ERROR")</f>
        <v>3790</v>
      </c>
      <c r="J40" s="114">
        <f t="shared" si="5"/>
        <v>0.54919576872916964</v>
      </c>
      <c r="K40" s="111">
        <f>IFERROR(VLOOKUP($B40,MMWR_TRAD_AGG_STATE_COMP[],K$1,0),"ERROR")</f>
        <v>1916</v>
      </c>
      <c r="L40" s="112">
        <f>IFERROR(VLOOKUP($B40,MMWR_TRAD_AGG_STATE_COMP[],L$1,0),"ERROR")</f>
        <v>1341</v>
      </c>
      <c r="M40" s="114">
        <f t="shared" si="6"/>
        <v>0.69989561586638827</v>
      </c>
      <c r="N40" s="111">
        <f>IFERROR(VLOOKUP($B40,MMWR_TRAD_AGG_STATE_COMP[],N$1,0),"ERROR")</f>
        <v>1781</v>
      </c>
      <c r="O40" s="112">
        <f>IFERROR(VLOOKUP($B40,MMWR_TRAD_AGG_STATE_COMP[],O$1,0),"ERROR")</f>
        <v>1197</v>
      </c>
      <c r="P40" s="114">
        <f t="shared" si="7"/>
        <v>0.67209432902863564</v>
      </c>
      <c r="Q40" s="115">
        <f>IFERROR(VLOOKUP($B40,MMWR_TRAD_AGG_STATE_COMP[],Q$1,0),"ERROR")</f>
        <v>483</v>
      </c>
      <c r="R40" s="115">
        <f>IFERROR(VLOOKUP($B40,MMWR_TRAD_AGG_STATE_COMP[],R$1,0),"ERROR")</f>
        <v>243</v>
      </c>
      <c r="S40" s="115">
        <f>IFERROR(VLOOKUP($B40,MMWR_APP_STATE_COMP[],S$1,0),"ERROR")</f>
        <v>4903</v>
      </c>
      <c r="T40" s="28"/>
    </row>
    <row r="41" spans="1:20" s="123" customFormat="1" x14ac:dyDescent="0.2">
      <c r="A41" s="28"/>
      <c r="B41" s="127" t="s">
        <v>417</v>
      </c>
      <c r="C41" s="109">
        <f>IFERROR(VLOOKUP($B41,MMWR_TRAD_AGG_STATE_COMP[],C$1,0),"ERROR")</f>
        <v>414</v>
      </c>
      <c r="D41" s="110">
        <f>IFERROR(VLOOKUP($B41,MMWR_TRAD_AGG_STATE_COMP[],D$1,0),"ERROR")</f>
        <v>236.51207729469999</v>
      </c>
      <c r="E41" s="111">
        <f>IFERROR(VLOOKUP($B41,MMWR_TRAD_AGG_STATE_COMP[],E$1,0),"ERROR")</f>
        <v>753</v>
      </c>
      <c r="F41" s="112">
        <f>IFERROR(VLOOKUP($B41,MMWR_TRAD_AGG_STATE_COMP[],F$1,0),"ERROR")</f>
        <v>61</v>
      </c>
      <c r="G41" s="113">
        <f t="shared" si="4"/>
        <v>8.1009296148738377E-2</v>
      </c>
      <c r="H41" s="111">
        <f>IFERROR(VLOOKUP($B41,MMWR_TRAD_AGG_STATE_COMP[],H$1,0),"ERROR")</f>
        <v>1247</v>
      </c>
      <c r="I41" s="112">
        <f>IFERROR(VLOOKUP($B41,MMWR_TRAD_AGG_STATE_COMP[],I$1,0),"ERROR")</f>
        <v>283</v>
      </c>
      <c r="J41" s="114">
        <f t="shared" si="5"/>
        <v>0.22694466720128309</v>
      </c>
      <c r="K41" s="111">
        <f>IFERROR(VLOOKUP($B41,MMWR_TRAD_AGG_STATE_COMP[],K$1,0),"ERROR")</f>
        <v>366</v>
      </c>
      <c r="L41" s="112">
        <f>IFERROR(VLOOKUP($B41,MMWR_TRAD_AGG_STATE_COMP[],L$1,0),"ERROR")</f>
        <v>215</v>
      </c>
      <c r="M41" s="114">
        <f t="shared" si="6"/>
        <v>0.58743169398907102</v>
      </c>
      <c r="N41" s="111">
        <f>IFERROR(VLOOKUP($B41,MMWR_TRAD_AGG_STATE_COMP[],N$1,0),"ERROR")</f>
        <v>434</v>
      </c>
      <c r="O41" s="112">
        <f>IFERROR(VLOOKUP($B41,MMWR_TRAD_AGG_STATE_COMP[],O$1,0),"ERROR")</f>
        <v>252</v>
      </c>
      <c r="P41" s="114">
        <f t="shared" si="7"/>
        <v>0.58064516129032262</v>
      </c>
      <c r="Q41" s="115">
        <f>IFERROR(VLOOKUP($B41,MMWR_TRAD_AGG_STATE_COMP[],Q$1,0),"ERROR")</f>
        <v>1</v>
      </c>
      <c r="R41" s="115">
        <f>IFERROR(VLOOKUP($B41,MMWR_TRAD_AGG_STATE_COMP[],R$1,0),"ERROR")</f>
        <v>5</v>
      </c>
      <c r="S41" s="115">
        <f>IFERROR(VLOOKUP($B41,MMWR_APP_STATE_COMP[],S$1,0),"ERROR")</f>
        <v>329</v>
      </c>
      <c r="T41" s="28"/>
    </row>
    <row r="42" spans="1:20" s="123" customFormat="1" x14ac:dyDescent="0.2">
      <c r="A42" s="28"/>
      <c r="B42" s="127" t="s">
        <v>411</v>
      </c>
      <c r="C42" s="109">
        <f>IFERROR(VLOOKUP($B42,MMWR_TRAD_AGG_STATE_COMP[],C$1,0),"ERROR")</f>
        <v>1533</v>
      </c>
      <c r="D42" s="110">
        <f>IFERROR(VLOOKUP($B42,MMWR_TRAD_AGG_STATE_COMP[],D$1,0),"ERROR")</f>
        <v>161.2257012394</v>
      </c>
      <c r="E42" s="111">
        <f>IFERROR(VLOOKUP($B42,MMWR_TRAD_AGG_STATE_COMP[],E$1,0),"ERROR")</f>
        <v>6113</v>
      </c>
      <c r="F42" s="112">
        <f>IFERROR(VLOOKUP($B42,MMWR_TRAD_AGG_STATE_COMP[],F$1,0),"ERROR")</f>
        <v>588</v>
      </c>
      <c r="G42" s="113">
        <f t="shared" si="4"/>
        <v>9.6188450842466869E-2</v>
      </c>
      <c r="H42" s="111">
        <f>IFERROR(VLOOKUP($B42,MMWR_TRAD_AGG_STATE_COMP[],H$1,0),"ERROR")</f>
        <v>4651</v>
      </c>
      <c r="I42" s="112">
        <f>IFERROR(VLOOKUP($B42,MMWR_TRAD_AGG_STATE_COMP[],I$1,0),"ERROR")</f>
        <v>656</v>
      </c>
      <c r="J42" s="114">
        <f t="shared" si="5"/>
        <v>0.14104493657278006</v>
      </c>
      <c r="K42" s="111">
        <f>IFERROR(VLOOKUP($B42,MMWR_TRAD_AGG_STATE_COMP[],K$1,0),"ERROR")</f>
        <v>1030</v>
      </c>
      <c r="L42" s="112">
        <f>IFERROR(VLOOKUP($B42,MMWR_TRAD_AGG_STATE_COMP[],L$1,0),"ERROR")</f>
        <v>488</v>
      </c>
      <c r="M42" s="114">
        <f t="shared" si="6"/>
        <v>0.47378640776699027</v>
      </c>
      <c r="N42" s="111">
        <f>IFERROR(VLOOKUP($B42,MMWR_TRAD_AGG_STATE_COMP[],N$1,0),"ERROR")</f>
        <v>2976</v>
      </c>
      <c r="O42" s="112">
        <f>IFERROR(VLOOKUP($B42,MMWR_TRAD_AGG_STATE_COMP[],O$1,0),"ERROR")</f>
        <v>1838</v>
      </c>
      <c r="P42" s="114">
        <f t="shared" si="7"/>
        <v>0.61760752688172038</v>
      </c>
      <c r="Q42" s="115">
        <f>IFERROR(VLOOKUP($B42,MMWR_TRAD_AGG_STATE_COMP[],Q$1,0),"ERROR")</f>
        <v>5</v>
      </c>
      <c r="R42" s="115">
        <f>IFERROR(VLOOKUP($B42,MMWR_TRAD_AGG_STATE_COMP[],R$1,0),"ERROR")</f>
        <v>18</v>
      </c>
      <c r="S42" s="115">
        <f>IFERROR(VLOOKUP($B42,MMWR_APP_STATE_COMP[],S$1,0),"ERROR")</f>
        <v>4342</v>
      </c>
      <c r="T42" s="28"/>
    </row>
    <row r="43" spans="1:20" s="123" customFormat="1" x14ac:dyDescent="0.2">
      <c r="A43" s="28"/>
      <c r="B43" s="127" t="s">
        <v>409</v>
      </c>
      <c r="C43" s="109">
        <f>IFERROR(VLOOKUP($B43,MMWR_TRAD_AGG_STATE_COMP[],C$1,0),"ERROR")</f>
        <v>22223</v>
      </c>
      <c r="D43" s="110">
        <f>IFERROR(VLOOKUP($B43,MMWR_TRAD_AGG_STATE_COMP[],D$1,0),"ERROR")</f>
        <v>328.63105791300001</v>
      </c>
      <c r="E43" s="111">
        <f>IFERROR(VLOOKUP($B43,MMWR_TRAD_AGG_STATE_COMP[],E$1,0),"ERROR")</f>
        <v>37005</v>
      </c>
      <c r="F43" s="112">
        <f>IFERROR(VLOOKUP($B43,MMWR_TRAD_AGG_STATE_COMP[],F$1,0),"ERROR")</f>
        <v>7380</v>
      </c>
      <c r="G43" s="113">
        <f t="shared" si="4"/>
        <v>0.19943250912038912</v>
      </c>
      <c r="H43" s="111">
        <f>IFERROR(VLOOKUP($B43,MMWR_TRAD_AGG_STATE_COMP[],H$1,0),"ERROR")</f>
        <v>41186</v>
      </c>
      <c r="I43" s="112">
        <f>IFERROR(VLOOKUP($B43,MMWR_TRAD_AGG_STATE_COMP[],I$1,0),"ERROR")</f>
        <v>19424</v>
      </c>
      <c r="J43" s="114">
        <f t="shared" si="5"/>
        <v>0.47161656873694946</v>
      </c>
      <c r="K43" s="111">
        <f>IFERROR(VLOOKUP($B43,MMWR_TRAD_AGG_STATE_COMP[],K$1,0),"ERROR")</f>
        <v>9504</v>
      </c>
      <c r="L43" s="112">
        <f>IFERROR(VLOOKUP($B43,MMWR_TRAD_AGG_STATE_COMP[],L$1,0),"ERROR")</f>
        <v>6903</v>
      </c>
      <c r="M43" s="114">
        <f t="shared" si="6"/>
        <v>0.72632575757575757</v>
      </c>
      <c r="N43" s="111">
        <f>IFERROR(VLOOKUP($B43,MMWR_TRAD_AGG_STATE_COMP[],N$1,0),"ERROR")</f>
        <v>19266</v>
      </c>
      <c r="O43" s="112">
        <f>IFERROR(VLOOKUP($B43,MMWR_TRAD_AGG_STATE_COMP[],O$1,0),"ERROR")</f>
        <v>11312</v>
      </c>
      <c r="P43" s="114">
        <f t="shared" si="7"/>
        <v>0.58714834423336448</v>
      </c>
      <c r="Q43" s="115">
        <f>IFERROR(VLOOKUP($B43,MMWR_TRAD_AGG_STATE_COMP[],Q$1,0),"ERROR")</f>
        <v>24</v>
      </c>
      <c r="R43" s="115">
        <f>IFERROR(VLOOKUP($B43,MMWR_TRAD_AGG_STATE_COMP[],R$1,0),"ERROR")</f>
        <v>443</v>
      </c>
      <c r="S43" s="115">
        <f>IFERROR(VLOOKUP($B43,MMWR_APP_STATE_COMP[],S$1,0),"ERROR")</f>
        <v>41940</v>
      </c>
      <c r="T43" s="28"/>
    </row>
    <row r="44" spans="1:20" s="123" customFormat="1" x14ac:dyDescent="0.2">
      <c r="A44" s="28"/>
      <c r="B44" s="127" t="s">
        <v>405</v>
      </c>
      <c r="C44" s="109">
        <f>IFERROR(VLOOKUP($B44,MMWR_TRAD_AGG_STATE_COMP[],C$1,0),"ERROR")</f>
        <v>733</v>
      </c>
      <c r="D44" s="110">
        <f>IFERROR(VLOOKUP($B44,MMWR_TRAD_AGG_STATE_COMP[],D$1,0),"ERROR")</f>
        <v>232.05593451569999</v>
      </c>
      <c r="E44" s="111">
        <f>IFERROR(VLOOKUP($B44,MMWR_TRAD_AGG_STATE_COMP[],E$1,0),"ERROR")</f>
        <v>1891</v>
      </c>
      <c r="F44" s="112">
        <f>IFERROR(VLOOKUP($B44,MMWR_TRAD_AGG_STATE_COMP[],F$1,0),"ERROR")</f>
        <v>458</v>
      </c>
      <c r="G44" s="113">
        <f t="shared" si="4"/>
        <v>0.24219989423585406</v>
      </c>
      <c r="H44" s="111">
        <f>IFERROR(VLOOKUP($B44,MMWR_TRAD_AGG_STATE_COMP[],H$1,0),"ERROR")</f>
        <v>2023</v>
      </c>
      <c r="I44" s="112">
        <f>IFERROR(VLOOKUP($B44,MMWR_TRAD_AGG_STATE_COMP[],I$1,0),"ERROR")</f>
        <v>489</v>
      </c>
      <c r="J44" s="114">
        <f t="shared" si="5"/>
        <v>0.24172021749876421</v>
      </c>
      <c r="K44" s="111">
        <f>IFERROR(VLOOKUP($B44,MMWR_TRAD_AGG_STATE_COMP[],K$1,0),"ERROR")</f>
        <v>560</v>
      </c>
      <c r="L44" s="112">
        <f>IFERROR(VLOOKUP($B44,MMWR_TRAD_AGG_STATE_COMP[],L$1,0),"ERROR")</f>
        <v>288</v>
      </c>
      <c r="M44" s="114">
        <f t="shared" si="6"/>
        <v>0.51428571428571423</v>
      </c>
      <c r="N44" s="111">
        <f>IFERROR(VLOOKUP($B44,MMWR_TRAD_AGG_STATE_COMP[],N$1,0),"ERROR")</f>
        <v>592</v>
      </c>
      <c r="O44" s="112">
        <f>IFERROR(VLOOKUP($B44,MMWR_TRAD_AGG_STATE_COMP[],O$1,0),"ERROR")</f>
        <v>317</v>
      </c>
      <c r="P44" s="114">
        <f t="shared" si="7"/>
        <v>0.53547297297297303</v>
      </c>
      <c r="Q44" s="115">
        <f>IFERROR(VLOOKUP($B44,MMWR_TRAD_AGG_STATE_COMP[],Q$1,0),"ERROR")</f>
        <v>1</v>
      </c>
      <c r="R44" s="115">
        <f>IFERROR(VLOOKUP($B44,MMWR_TRAD_AGG_STATE_COMP[],R$1,0),"ERROR")</f>
        <v>4</v>
      </c>
      <c r="S44" s="115">
        <f>IFERROR(VLOOKUP($B44,MMWR_APP_STATE_COMP[],S$1,0),"ERROR")</f>
        <v>552</v>
      </c>
      <c r="T44" s="28"/>
    </row>
    <row r="45" spans="1:20" s="123" customFormat="1" x14ac:dyDescent="0.2">
      <c r="A45" s="28"/>
      <c r="B45" s="127" t="s">
        <v>420</v>
      </c>
      <c r="C45" s="109">
        <f>IFERROR(VLOOKUP($B45,MMWR_TRAD_AGG_STATE_COMP[],C$1,0),"ERROR")</f>
        <v>300</v>
      </c>
      <c r="D45" s="110">
        <f>IFERROR(VLOOKUP($B45,MMWR_TRAD_AGG_STATE_COMP[],D$1,0),"ERROR")</f>
        <v>312.60666666669999</v>
      </c>
      <c r="E45" s="111">
        <f>IFERROR(VLOOKUP($B45,MMWR_TRAD_AGG_STATE_COMP[],E$1,0),"ERROR")</f>
        <v>750</v>
      </c>
      <c r="F45" s="112">
        <f>IFERROR(VLOOKUP($B45,MMWR_TRAD_AGG_STATE_COMP[],F$1,0),"ERROR")</f>
        <v>71</v>
      </c>
      <c r="G45" s="113">
        <f t="shared" si="4"/>
        <v>9.4666666666666663E-2</v>
      </c>
      <c r="H45" s="111">
        <f>IFERROR(VLOOKUP($B45,MMWR_TRAD_AGG_STATE_COMP[],H$1,0),"ERROR")</f>
        <v>832</v>
      </c>
      <c r="I45" s="112">
        <f>IFERROR(VLOOKUP($B45,MMWR_TRAD_AGG_STATE_COMP[],I$1,0),"ERROR")</f>
        <v>319</v>
      </c>
      <c r="J45" s="114">
        <f t="shared" si="5"/>
        <v>0.38341346153846156</v>
      </c>
      <c r="K45" s="111">
        <f>IFERROR(VLOOKUP($B45,MMWR_TRAD_AGG_STATE_COMP[],K$1,0),"ERROR")</f>
        <v>222</v>
      </c>
      <c r="L45" s="112">
        <f>IFERROR(VLOOKUP($B45,MMWR_TRAD_AGG_STATE_COMP[],L$1,0),"ERROR")</f>
        <v>135</v>
      </c>
      <c r="M45" s="114">
        <f t="shared" si="6"/>
        <v>0.60810810810810811</v>
      </c>
      <c r="N45" s="111">
        <f>IFERROR(VLOOKUP($B45,MMWR_TRAD_AGG_STATE_COMP[],N$1,0),"ERROR")</f>
        <v>190</v>
      </c>
      <c r="O45" s="112">
        <f>IFERROR(VLOOKUP($B45,MMWR_TRAD_AGG_STATE_COMP[],O$1,0),"ERROR")</f>
        <v>117</v>
      </c>
      <c r="P45" s="114">
        <f t="shared" si="7"/>
        <v>0.61578947368421055</v>
      </c>
      <c r="Q45" s="115">
        <f>IFERROR(VLOOKUP($B45,MMWR_TRAD_AGG_STATE_COMP[],Q$1,0),"ERROR")</f>
        <v>2</v>
      </c>
      <c r="R45" s="115">
        <f>IFERROR(VLOOKUP($B45,MMWR_TRAD_AGG_STATE_COMP[],R$1,0),"ERROR")</f>
        <v>1</v>
      </c>
      <c r="S45" s="115">
        <f>IFERROR(VLOOKUP($B45,MMWR_APP_STATE_COMP[],S$1,0),"ERROR")</f>
        <v>201</v>
      </c>
      <c r="T45" s="28"/>
    </row>
    <row r="46" spans="1:20" s="123" customFormat="1" x14ac:dyDescent="0.2">
      <c r="A46" s="28"/>
      <c r="B46" s="126" t="s">
        <v>403</v>
      </c>
      <c r="C46" s="102">
        <f>IFERROR(VLOOKUP($B46,MMWR_TRAD_AGG_ST_DISTRICT_COMP[],C$1,0),"ERROR")</f>
        <v>43395</v>
      </c>
      <c r="D46" s="103">
        <f>IFERROR(VLOOKUP($B46,MMWR_TRAD_AGG_ST_DISTRICT_COMP[],D$1,0),"ERROR")</f>
        <v>387.89468832810002</v>
      </c>
      <c r="E46" s="102">
        <f>IFERROR(VLOOKUP($B46,MMWR_TRAD_AGG_ST_DISTRICT_COMP[],E$1,0),"ERROR")</f>
        <v>63554</v>
      </c>
      <c r="F46" s="102">
        <f>IFERROR(VLOOKUP($B46,MMWR_TRAD_AGG_ST_DISTRICT_COMP[],F$1,0),"ERROR")</f>
        <v>12602</v>
      </c>
      <c r="G46" s="104">
        <f t="shared" si="4"/>
        <v>0.19828806998772697</v>
      </c>
      <c r="H46" s="102">
        <f>IFERROR(VLOOKUP($B46,MMWR_TRAD_AGG_ST_DISTRICT_COMP[],H$1,0),"ERROR")</f>
        <v>84263</v>
      </c>
      <c r="I46" s="102">
        <f>IFERROR(VLOOKUP($B46,MMWR_TRAD_AGG_ST_DISTRICT_COMP[],I$1,0),"ERROR")</f>
        <v>43625</v>
      </c>
      <c r="J46" s="105">
        <f t="shared" si="5"/>
        <v>0.51772426806546168</v>
      </c>
      <c r="K46" s="102">
        <f>IFERROR(VLOOKUP($B46,MMWR_TRAD_AGG_ST_DISTRICT_COMP[],K$1,0),"ERROR")</f>
        <v>24003</v>
      </c>
      <c r="L46" s="102">
        <f>IFERROR(VLOOKUP($B46,MMWR_TRAD_AGG_ST_DISTRICT_COMP[],L$1,0),"ERROR")</f>
        <v>18093</v>
      </c>
      <c r="M46" s="105">
        <f t="shared" si="6"/>
        <v>0.75378077740282468</v>
      </c>
      <c r="N46" s="102">
        <f>IFERROR(VLOOKUP($B46,MMWR_TRAD_AGG_ST_DISTRICT_COMP[],N$1,0),"ERROR")</f>
        <v>31467</v>
      </c>
      <c r="O46" s="102">
        <f>IFERROR(VLOOKUP($B46,MMWR_TRAD_AGG_ST_DISTRICT_COMP[],O$1,0),"ERROR")</f>
        <v>22301</v>
      </c>
      <c r="P46" s="105">
        <f t="shared" si="7"/>
        <v>0.70871071281024567</v>
      </c>
      <c r="Q46" s="102">
        <f>IFERROR(VLOOKUP($B46,MMWR_TRAD_AGG_ST_DISTRICT_COMP[],Q$1,0),"ERROR")</f>
        <v>103</v>
      </c>
      <c r="R46" s="106">
        <f>IFERROR(VLOOKUP($B46,MMWR_TRAD_AGG_ST_DISTRICT_COMP[],R$1,0),"ERROR")</f>
        <v>657</v>
      </c>
      <c r="S46" s="106">
        <f>SUM(S47:S55)</f>
        <v>41434</v>
      </c>
      <c r="T46" s="28"/>
    </row>
    <row r="47" spans="1:20" s="123" customFormat="1" x14ac:dyDescent="0.2">
      <c r="A47" s="28"/>
      <c r="B47" s="127" t="s">
        <v>423</v>
      </c>
      <c r="C47" s="109">
        <f>IFERROR(VLOOKUP($B47,MMWR_TRAD_AGG_STATE_COMP[],C$1,0),"ERROR")</f>
        <v>1796</v>
      </c>
      <c r="D47" s="110">
        <f>IFERROR(VLOOKUP($B47,MMWR_TRAD_AGG_STATE_COMP[],D$1,0),"ERROR")</f>
        <v>514.92706013359998</v>
      </c>
      <c r="E47" s="111">
        <f>IFERROR(VLOOKUP($B47,MMWR_TRAD_AGG_STATE_COMP[],E$1,0),"ERROR")</f>
        <v>1079</v>
      </c>
      <c r="F47" s="112">
        <f>IFERROR(VLOOKUP($B47,MMWR_TRAD_AGG_STATE_COMP[],F$1,0),"ERROR")</f>
        <v>282</v>
      </c>
      <c r="G47" s="113">
        <f t="shared" si="4"/>
        <v>0.26135310472659873</v>
      </c>
      <c r="H47" s="111">
        <f>IFERROR(VLOOKUP($B47,MMWR_TRAD_AGG_STATE_COMP[],H$1,0),"ERROR")</f>
        <v>3015</v>
      </c>
      <c r="I47" s="112">
        <f>IFERROR(VLOOKUP($B47,MMWR_TRAD_AGG_STATE_COMP[],I$1,0),"ERROR")</f>
        <v>1998</v>
      </c>
      <c r="J47" s="114">
        <f t="shared" si="5"/>
        <v>0.66268656716417906</v>
      </c>
      <c r="K47" s="111">
        <f>IFERROR(VLOOKUP($B47,MMWR_TRAD_AGG_STATE_COMP[],K$1,0),"ERROR")</f>
        <v>1399</v>
      </c>
      <c r="L47" s="112">
        <f>IFERROR(VLOOKUP($B47,MMWR_TRAD_AGG_STATE_COMP[],L$1,0),"ERROR")</f>
        <v>1112</v>
      </c>
      <c r="M47" s="114">
        <f t="shared" si="6"/>
        <v>0.79485346676197288</v>
      </c>
      <c r="N47" s="111">
        <f>IFERROR(VLOOKUP($B47,MMWR_TRAD_AGG_STATE_COMP[],N$1,0),"ERROR")</f>
        <v>385</v>
      </c>
      <c r="O47" s="112">
        <f>IFERROR(VLOOKUP($B47,MMWR_TRAD_AGG_STATE_COMP[],O$1,0),"ERROR")</f>
        <v>280</v>
      </c>
      <c r="P47" s="114">
        <f t="shared" si="7"/>
        <v>0.72727272727272729</v>
      </c>
      <c r="Q47" s="115">
        <f>IFERROR(VLOOKUP($B47,MMWR_TRAD_AGG_STATE_COMP[],Q$1,0),"ERROR")</f>
        <v>0</v>
      </c>
      <c r="R47" s="115">
        <f>IFERROR(VLOOKUP($B47,MMWR_TRAD_AGG_STATE_COMP[],R$1,0),"ERROR")</f>
        <v>3</v>
      </c>
      <c r="S47" s="115">
        <f>IFERROR(VLOOKUP($B47,MMWR_APP_STATE_COMP[],S$1,0),"ERROR")</f>
        <v>249</v>
      </c>
      <c r="T47" s="28"/>
    </row>
    <row r="48" spans="1:20" s="123" customFormat="1" x14ac:dyDescent="0.2">
      <c r="A48" s="28"/>
      <c r="B48" s="127" t="s">
        <v>425</v>
      </c>
      <c r="C48" s="109">
        <f>IFERROR(VLOOKUP($B48,MMWR_TRAD_AGG_STATE_COMP[],C$1,0),"ERROR")</f>
        <v>3774</v>
      </c>
      <c r="D48" s="110">
        <f>IFERROR(VLOOKUP($B48,MMWR_TRAD_AGG_STATE_COMP[],D$1,0),"ERROR")</f>
        <v>283.57048224699997</v>
      </c>
      <c r="E48" s="111">
        <f>IFERROR(VLOOKUP($B48,MMWR_TRAD_AGG_STATE_COMP[],E$1,0),"ERROR")</f>
        <v>5605</v>
      </c>
      <c r="F48" s="112">
        <f>IFERROR(VLOOKUP($B48,MMWR_TRAD_AGG_STATE_COMP[],F$1,0),"ERROR")</f>
        <v>957</v>
      </c>
      <c r="G48" s="113">
        <f t="shared" si="4"/>
        <v>0.17074041034790366</v>
      </c>
      <c r="H48" s="111">
        <f>IFERROR(VLOOKUP($B48,MMWR_TRAD_AGG_STATE_COMP[],H$1,0),"ERROR")</f>
        <v>7420</v>
      </c>
      <c r="I48" s="112">
        <f>IFERROR(VLOOKUP($B48,MMWR_TRAD_AGG_STATE_COMP[],I$1,0),"ERROR")</f>
        <v>3094</v>
      </c>
      <c r="J48" s="114">
        <f t="shared" si="5"/>
        <v>0.41698113207547172</v>
      </c>
      <c r="K48" s="111">
        <f>IFERROR(VLOOKUP($B48,MMWR_TRAD_AGG_STATE_COMP[],K$1,0),"ERROR")</f>
        <v>1815</v>
      </c>
      <c r="L48" s="112">
        <f>IFERROR(VLOOKUP($B48,MMWR_TRAD_AGG_STATE_COMP[],L$1,0),"ERROR")</f>
        <v>1229</v>
      </c>
      <c r="M48" s="114">
        <f t="shared" si="6"/>
        <v>0.6771349862258953</v>
      </c>
      <c r="N48" s="111">
        <f>IFERROR(VLOOKUP($B48,MMWR_TRAD_AGG_STATE_COMP[],N$1,0),"ERROR")</f>
        <v>2623</v>
      </c>
      <c r="O48" s="112">
        <f>IFERROR(VLOOKUP($B48,MMWR_TRAD_AGG_STATE_COMP[],O$1,0),"ERROR")</f>
        <v>1683</v>
      </c>
      <c r="P48" s="114">
        <f t="shared" si="7"/>
        <v>0.6416317194052612</v>
      </c>
      <c r="Q48" s="115">
        <f>IFERROR(VLOOKUP($B48,MMWR_TRAD_AGG_STATE_COMP[],Q$1,0),"ERROR")</f>
        <v>9</v>
      </c>
      <c r="R48" s="115">
        <f>IFERROR(VLOOKUP($B48,MMWR_TRAD_AGG_STATE_COMP[],R$1,0),"ERROR")</f>
        <v>91</v>
      </c>
      <c r="S48" s="115">
        <f>IFERROR(VLOOKUP($B48,MMWR_APP_STATE_COMP[],S$1,0),"ERROR")</f>
        <v>6971</v>
      </c>
      <c r="T48" s="28"/>
    </row>
    <row r="49" spans="1:20" s="123" customFormat="1" x14ac:dyDescent="0.2">
      <c r="A49" s="28"/>
      <c r="B49" s="127" t="s">
        <v>406</v>
      </c>
      <c r="C49" s="109">
        <f>IFERROR(VLOOKUP($B49,MMWR_TRAD_AGG_STATE_COMP[],C$1,0),"ERROR")</f>
        <v>18707</v>
      </c>
      <c r="D49" s="110">
        <f>IFERROR(VLOOKUP($B49,MMWR_TRAD_AGG_STATE_COMP[],D$1,0),"ERROR")</f>
        <v>406.88432137699999</v>
      </c>
      <c r="E49" s="111">
        <f>IFERROR(VLOOKUP($B49,MMWR_TRAD_AGG_STATE_COMP[],E$1,0),"ERROR")</f>
        <v>33811</v>
      </c>
      <c r="F49" s="112">
        <f>IFERROR(VLOOKUP($B49,MMWR_TRAD_AGG_STATE_COMP[],F$1,0),"ERROR")</f>
        <v>6756</v>
      </c>
      <c r="G49" s="113">
        <f t="shared" si="4"/>
        <v>0.19981662772470499</v>
      </c>
      <c r="H49" s="111">
        <f>IFERROR(VLOOKUP($B49,MMWR_TRAD_AGG_STATE_COMP[],H$1,0),"ERROR")</f>
        <v>38692</v>
      </c>
      <c r="I49" s="112">
        <f>IFERROR(VLOOKUP($B49,MMWR_TRAD_AGG_STATE_COMP[],I$1,0),"ERROR")</f>
        <v>20230</v>
      </c>
      <c r="J49" s="114">
        <f t="shared" si="5"/>
        <v>0.52284710017574687</v>
      </c>
      <c r="K49" s="111">
        <f>IFERROR(VLOOKUP($B49,MMWR_TRAD_AGG_STATE_COMP[],K$1,0),"ERROR")</f>
        <v>10421</v>
      </c>
      <c r="L49" s="112">
        <f>IFERROR(VLOOKUP($B49,MMWR_TRAD_AGG_STATE_COMP[],L$1,0),"ERROR")</f>
        <v>8247</v>
      </c>
      <c r="M49" s="114">
        <f t="shared" si="6"/>
        <v>0.79138278476153923</v>
      </c>
      <c r="N49" s="111">
        <f>IFERROR(VLOOKUP($B49,MMWR_TRAD_AGG_STATE_COMP[],N$1,0),"ERROR")</f>
        <v>15285</v>
      </c>
      <c r="O49" s="112">
        <f>IFERROR(VLOOKUP($B49,MMWR_TRAD_AGG_STATE_COMP[],O$1,0),"ERROR")</f>
        <v>10855</v>
      </c>
      <c r="P49" s="114">
        <f t="shared" si="7"/>
        <v>0.71017337258750413</v>
      </c>
      <c r="Q49" s="115">
        <f>IFERROR(VLOOKUP($B49,MMWR_TRAD_AGG_STATE_COMP[],Q$1,0),"ERROR")</f>
        <v>59</v>
      </c>
      <c r="R49" s="115">
        <f>IFERROR(VLOOKUP($B49,MMWR_TRAD_AGG_STATE_COMP[],R$1,0),"ERROR")</f>
        <v>158</v>
      </c>
      <c r="S49" s="115">
        <f>IFERROR(VLOOKUP($B49,MMWR_APP_STATE_COMP[],S$1,0),"ERROR")</f>
        <v>17994</v>
      </c>
      <c r="T49" s="28"/>
    </row>
    <row r="50" spans="1:20" s="123" customFormat="1" x14ac:dyDescent="0.2">
      <c r="A50" s="28"/>
      <c r="B50" s="127" t="s">
        <v>427</v>
      </c>
      <c r="C50" s="109">
        <f>IFERROR(VLOOKUP($B50,MMWR_TRAD_AGG_STATE_COMP[],C$1,0),"ERROR")</f>
        <v>1001</v>
      </c>
      <c r="D50" s="110">
        <f>IFERROR(VLOOKUP($B50,MMWR_TRAD_AGG_STATE_COMP[],D$1,0),"ERROR")</f>
        <v>265.83516483519998</v>
      </c>
      <c r="E50" s="111">
        <f>IFERROR(VLOOKUP($B50,MMWR_TRAD_AGG_STATE_COMP[],E$1,0),"ERROR")</f>
        <v>2060</v>
      </c>
      <c r="F50" s="112">
        <f>IFERROR(VLOOKUP($B50,MMWR_TRAD_AGG_STATE_COMP[],F$1,0),"ERROR")</f>
        <v>283</v>
      </c>
      <c r="G50" s="113">
        <f t="shared" si="4"/>
        <v>0.13737864077669903</v>
      </c>
      <c r="H50" s="111">
        <f>IFERROR(VLOOKUP($B50,MMWR_TRAD_AGG_STATE_COMP[],H$1,0),"ERROR")</f>
        <v>2182</v>
      </c>
      <c r="I50" s="112">
        <f>IFERROR(VLOOKUP($B50,MMWR_TRAD_AGG_STATE_COMP[],I$1,0),"ERROR")</f>
        <v>784</v>
      </c>
      <c r="J50" s="114">
        <f t="shared" si="5"/>
        <v>0.35930339138405132</v>
      </c>
      <c r="K50" s="111">
        <f>IFERROR(VLOOKUP($B50,MMWR_TRAD_AGG_STATE_COMP[],K$1,0),"ERROR")</f>
        <v>1056</v>
      </c>
      <c r="L50" s="112">
        <f>IFERROR(VLOOKUP($B50,MMWR_TRAD_AGG_STATE_COMP[],L$1,0),"ERROR")</f>
        <v>579</v>
      </c>
      <c r="M50" s="114">
        <f t="shared" si="6"/>
        <v>0.54829545454545459</v>
      </c>
      <c r="N50" s="111">
        <f>IFERROR(VLOOKUP($B50,MMWR_TRAD_AGG_STATE_COMP[],N$1,0),"ERROR")</f>
        <v>610</v>
      </c>
      <c r="O50" s="112">
        <f>IFERROR(VLOOKUP($B50,MMWR_TRAD_AGG_STATE_COMP[],O$1,0),"ERROR")</f>
        <v>376</v>
      </c>
      <c r="P50" s="114">
        <f t="shared" si="7"/>
        <v>0.61639344262295082</v>
      </c>
      <c r="Q50" s="115">
        <f>IFERROR(VLOOKUP($B50,MMWR_TRAD_AGG_STATE_COMP[],Q$1,0),"ERROR")</f>
        <v>2</v>
      </c>
      <c r="R50" s="115">
        <f>IFERROR(VLOOKUP($B50,MMWR_TRAD_AGG_STATE_COMP[],R$1,0),"ERROR")</f>
        <v>4</v>
      </c>
      <c r="S50" s="115">
        <f>IFERROR(VLOOKUP($B50,MMWR_APP_STATE_COMP[],S$1,0),"ERROR")</f>
        <v>1112</v>
      </c>
      <c r="T50" s="28"/>
    </row>
    <row r="51" spans="1:20" s="123" customFormat="1" x14ac:dyDescent="0.2">
      <c r="A51" s="28"/>
      <c r="B51" s="127" t="s">
        <v>407</v>
      </c>
      <c r="C51" s="109">
        <f>IFERROR(VLOOKUP($B51,MMWR_TRAD_AGG_STATE_COMP[],C$1,0),"ERROR")</f>
        <v>600</v>
      </c>
      <c r="D51" s="110">
        <f>IFERROR(VLOOKUP($B51,MMWR_TRAD_AGG_STATE_COMP[],D$1,0),"ERROR")</f>
        <v>206.5883333333</v>
      </c>
      <c r="E51" s="111">
        <f>IFERROR(VLOOKUP($B51,MMWR_TRAD_AGG_STATE_COMP[],E$1,0),"ERROR")</f>
        <v>1857</v>
      </c>
      <c r="F51" s="112">
        <f>IFERROR(VLOOKUP($B51,MMWR_TRAD_AGG_STATE_COMP[],F$1,0),"ERROR")</f>
        <v>474</v>
      </c>
      <c r="G51" s="113">
        <f t="shared" si="4"/>
        <v>0.25525040387722131</v>
      </c>
      <c r="H51" s="111">
        <f>IFERROR(VLOOKUP($B51,MMWR_TRAD_AGG_STATE_COMP[],H$1,0),"ERROR")</f>
        <v>1608</v>
      </c>
      <c r="I51" s="112">
        <f>IFERROR(VLOOKUP($B51,MMWR_TRAD_AGG_STATE_COMP[],I$1,0),"ERROR")</f>
        <v>379</v>
      </c>
      <c r="J51" s="114">
        <f t="shared" si="5"/>
        <v>0.23569651741293532</v>
      </c>
      <c r="K51" s="111">
        <f>IFERROR(VLOOKUP($B51,MMWR_TRAD_AGG_STATE_COMP[],K$1,0),"ERROR")</f>
        <v>314</v>
      </c>
      <c r="L51" s="112">
        <f>IFERROR(VLOOKUP($B51,MMWR_TRAD_AGG_STATE_COMP[],L$1,0),"ERROR")</f>
        <v>169</v>
      </c>
      <c r="M51" s="114">
        <f t="shared" si="6"/>
        <v>0.53821656050955413</v>
      </c>
      <c r="N51" s="111">
        <f>IFERROR(VLOOKUP($B51,MMWR_TRAD_AGG_STATE_COMP[],N$1,0),"ERROR")</f>
        <v>476</v>
      </c>
      <c r="O51" s="112">
        <f>IFERROR(VLOOKUP($B51,MMWR_TRAD_AGG_STATE_COMP[],O$1,0),"ERROR")</f>
        <v>298</v>
      </c>
      <c r="P51" s="114">
        <f t="shared" si="7"/>
        <v>0.62605042016806722</v>
      </c>
      <c r="Q51" s="115">
        <f>IFERROR(VLOOKUP($B51,MMWR_TRAD_AGG_STATE_COMP[],Q$1,0),"ERROR")</f>
        <v>1</v>
      </c>
      <c r="R51" s="115">
        <f>IFERROR(VLOOKUP($B51,MMWR_TRAD_AGG_STATE_COMP[],R$1,0),"ERROR")</f>
        <v>6</v>
      </c>
      <c r="S51" s="115">
        <f>IFERROR(VLOOKUP($B51,MMWR_APP_STATE_COMP[],S$1,0),"ERROR")</f>
        <v>869</v>
      </c>
      <c r="T51" s="28"/>
    </row>
    <row r="52" spans="1:20" s="123" customFormat="1" x14ac:dyDescent="0.2">
      <c r="A52" s="28"/>
      <c r="B52" s="127" t="s">
        <v>412</v>
      </c>
      <c r="C52" s="109">
        <f>IFERROR(VLOOKUP($B52,MMWR_TRAD_AGG_STATE_COMP[],C$1,0),"ERROR")</f>
        <v>2755</v>
      </c>
      <c r="D52" s="110">
        <f>IFERROR(VLOOKUP($B52,MMWR_TRAD_AGG_STATE_COMP[],D$1,0),"ERROR")</f>
        <v>435.82214156079999</v>
      </c>
      <c r="E52" s="111">
        <f>IFERROR(VLOOKUP($B52,MMWR_TRAD_AGG_STATE_COMP[],E$1,0),"ERROR")</f>
        <v>4164</v>
      </c>
      <c r="F52" s="112">
        <f>IFERROR(VLOOKUP($B52,MMWR_TRAD_AGG_STATE_COMP[],F$1,0),"ERROR")</f>
        <v>989</v>
      </c>
      <c r="G52" s="113">
        <f t="shared" si="4"/>
        <v>0.23751200768491834</v>
      </c>
      <c r="H52" s="111">
        <f>IFERROR(VLOOKUP($B52,MMWR_TRAD_AGG_STATE_COMP[],H$1,0),"ERROR")</f>
        <v>4552</v>
      </c>
      <c r="I52" s="112">
        <f>IFERROR(VLOOKUP($B52,MMWR_TRAD_AGG_STATE_COMP[],I$1,0),"ERROR")</f>
        <v>2629</v>
      </c>
      <c r="J52" s="114">
        <f t="shared" si="5"/>
        <v>0.57754833040421794</v>
      </c>
      <c r="K52" s="111">
        <f>IFERROR(VLOOKUP($B52,MMWR_TRAD_AGG_STATE_COMP[],K$1,0),"ERROR")</f>
        <v>1051</v>
      </c>
      <c r="L52" s="112">
        <f>IFERROR(VLOOKUP($B52,MMWR_TRAD_AGG_STATE_COMP[],L$1,0),"ERROR")</f>
        <v>815</v>
      </c>
      <c r="M52" s="114">
        <f t="shared" si="6"/>
        <v>0.77545195052331117</v>
      </c>
      <c r="N52" s="111">
        <f>IFERROR(VLOOKUP($B52,MMWR_TRAD_AGG_STATE_COMP[],N$1,0),"ERROR")</f>
        <v>1957</v>
      </c>
      <c r="O52" s="112">
        <f>IFERROR(VLOOKUP($B52,MMWR_TRAD_AGG_STATE_COMP[],O$1,0),"ERROR")</f>
        <v>1480</v>
      </c>
      <c r="P52" s="114">
        <f t="shared" si="7"/>
        <v>0.75625958099131319</v>
      </c>
      <c r="Q52" s="115">
        <f>IFERROR(VLOOKUP($B52,MMWR_TRAD_AGG_STATE_COMP[],Q$1,0),"ERROR")</f>
        <v>3</v>
      </c>
      <c r="R52" s="115">
        <f>IFERROR(VLOOKUP($B52,MMWR_TRAD_AGG_STATE_COMP[],R$1,0),"ERROR")</f>
        <v>125</v>
      </c>
      <c r="S52" s="115">
        <f>IFERROR(VLOOKUP($B52,MMWR_APP_STATE_COMP[],S$1,0),"ERROR")</f>
        <v>2984</v>
      </c>
      <c r="T52" s="28"/>
    </row>
    <row r="53" spans="1:20" s="123" customFormat="1" x14ac:dyDescent="0.2">
      <c r="A53" s="28"/>
      <c r="B53" s="127" t="s">
        <v>404</v>
      </c>
      <c r="C53" s="109">
        <f>IFERROR(VLOOKUP($B53,MMWR_TRAD_AGG_STATE_COMP[],C$1,0),"ERROR")</f>
        <v>764</v>
      </c>
      <c r="D53" s="110">
        <f>IFERROR(VLOOKUP($B53,MMWR_TRAD_AGG_STATE_COMP[],D$1,0),"ERROR")</f>
        <v>255.8115183246</v>
      </c>
      <c r="E53" s="111">
        <f>IFERROR(VLOOKUP($B53,MMWR_TRAD_AGG_STATE_COMP[],E$1,0),"ERROR")</f>
        <v>2763</v>
      </c>
      <c r="F53" s="112">
        <f>IFERROR(VLOOKUP($B53,MMWR_TRAD_AGG_STATE_COMP[],F$1,0),"ERROR")</f>
        <v>618</v>
      </c>
      <c r="G53" s="113">
        <f t="shared" si="4"/>
        <v>0.22366992399565688</v>
      </c>
      <c r="H53" s="111">
        <f>IFERROR(VLOOKUP($B53,MMWR_TRAD_AGG_STATE_COMP[],H$1,0),"ERROR")</f>
        <v>1977</v>
      </c>
      <c r="I53" s="112">
        <f>IFERROR(VLOOKUP($B53,MMWR_TRAD_AGG_STATE_COMP[],I$1,0),"ERROR")</f>
        <v>670</v>
      </c>
      <c r="J53" s="114">
        <f t="shared" si="5"/>
        <v>0.33889731917046029</v>
      </c>
      <c r="K53" s="111">
        <f>IFERROR(VLOOKUP($B53,MMWR_TRAD_AGG_STATE_COMP[],K$1,0),"ERROR")</f>
        <v>531</v>
      </c>
      <c r="L53" s="112">
        <f>IFERROR(VLOOKUP($B53,MMWR_TRAD_AGG_STATE_COMP[],L$1,0),"ERROR")</f>
        <v>323</v>
      </c>
      <c r="M53" s="114">
        <f t="shared" si="6"/>
        <v>0.60828625235404898</v>
      </c>
      <c r="N53" s="111">
        <f>IFERROR(VLOOKUP($B53,MMWR_TRAD_AGG_STATE_COMP[],N$1,0),"ERROR")</f>
        <v>990</v>
      </c>
      <c r="O53" s="112">
        <f>IFERROR(VLOOKUP($B53,MMWR_TRAD_AGG_STATE_COMP[],O$1,0),"ERROR")</f>
        <v>588</v>
      </c>
      <c r="P53" s="114">
        <f t="shared" si="7"/>
        <v>0.59393939393939399</v>
      </c>
      <c r="Q53" s="115">
        <f>IFERROR(VLOOKUP($B53,MMWR_TRAD_AGG_STATE_COMP[],Q$1,0),"ERROR")</f>
        <v>6</v>
      </c>
      <c r="R53" s="115">
        <f>IFERROR(VLOOKUP($B53,MMWR_TRAD_AGG_STATE_COMP[],R$1,0),"ERROR")</f>
        <v>11</v>
      </c>
      <c r="S53" s="115">
        <f>IFERROR(VLOOKUP($B53,MMWR_APP_STATE_COMP[],S$1,0),"ERROR")</f>
        <v>1640</v>
      </c>
      <c r="T53" s="28"/>
    </row>
    <row r="54" spans="1:20" s="123" customFormat="1" x14ac:dyDescent="0.2">
      <c r="A54" s="28"/>
      <c r="B54" s="127" t="s">
        <v>408</v>
      </c>
      <c r="C54" s="109">
        <f>IFERROR(VLOOKUP($B54,MMWR_TRAD_AGG_STATE_COMP[],C$1,0),"ERROR")</f>
        <v>5321</v>
      </c>
      <c r="D54" s="110">
        <f>IFERROR(VLOOKUP($B54,MMWR_TRAD_AGG_STATE_COMP[],D$1,0),"ERROR")</f>
        <v>400.05600451039999</v>
      </c>
      <c r="E54" s="111">
        <f>IFERROR(VLOOKUP($B54,MMWR_TRAD_AGG_STATE_COMP[],E$1,0),"ERROR")</f>
        <v>4833</v>
      </c>
      <c r="F54" s="112">
        <f>IFERROR(VLOOKUP($B54,MMWR_TRAD_AGG_STATE_COMP[],F$1,0),"ERROR")</f>
        <v>885</v>
      </c>
      <c r="G54" s="113">
        <f t="shared" si="4"/>
        <v>0.18311607697082558</v>
      </c>
      <c r="H54" s="111">
        <f>IFERROR(VLOOKUP($B54,MMWR_TRAD_AGG_STATE_COMP[],H$1,0),"ERROR")</f>
        <v>8916</v>
      </c>
      <c r="I54" s="112">
        <f>IFERROR(VLOOKUP($B54,MMWR_TRAD_AGG_STATE_COMP[],I$1,0),"ERROR")</f>
        <v>4923</v>
      </c>
      <c r="J54" s="114">
        <f t="shared" si="5"/>
        <v>0.55215343203230149</v>
      </c>
      <c r="K54" s="111">
        <f>IFERROR(VLOOKUP($B54,MMWR_TRAD_AGG_STATE_COMP[],K$1,0),"ERROR")</f>
        <v>3297</v>
      </c>
      <c r="L54" s="112">
        <f>IFERROR(VLOOKUP($B54,MMWR_TRAD_AGG_STATE_COMP[],L$1,0),"ERROR")</f>
        <v>2793</v>
      </c>
      <c r="M54" s="114">
        <f t="shared" si="6"/>
        <v>0.84713375796178347</v>
      </c>
      <c r="N54" s="111">
        <f>IFERROR(VLOOKUP($B54,MMWR_TRAD_AGG_STATE_COMP[],N$1,0),"ERROR")</f>
        <v>3202</v>
      </c>
      <c r="O54" s="112">
        <f>IFERROR(VLOOKUP($B54,MMWR_TRAD_AGG_STATE_COMP[],O$1,0),"ERROR")</f>
        <v>2283</v>
      </c>
      <c r="P54" s="114">
        <f t="shared" si="7"/>
        <v>0.71299188007495318</v>
      </c>
      <c r="Q54" s="115">
        <f>IFERROR(VLOOKUP($B54,MMWR_TRAD_AGG_STATE_COMP[],Q$1,0),"ERROR")</f>
        <v>8</v>
      </c>
      <c r="R54" s="115">
        <f>IFERROR(VLOOKUP($B54,MMWR_TRAD_AGG_STATE_COMP[],R$1,0),"ERROR")</f>
        <v>107</v>
      </c>
      <c r="S54" s="115">
        <f>IFERROR(VLOOKUP($B54,MMWR_APP_STATE_COMP[],S$1,0),"ERROR")</f>
        <v>4744</v>
      </c>
      <c r="T54" s="28"/>
    </row>
    <row r="55" spans="1:20" s="123" customFormat="1" x14ac:dyDescent="0.2">
      <c r="A55" s="28"/>
      <c r="B55" s="127" t="s">
        <v>80</v>
      </c>
      <c r="C55" s="109">
        <f>IFERROR(VLOOKUP($B55,MMWR_TRAD_AGG_STATE_COMP[],C$1,0),"ERROR")</f>
        <v>8677</v>
      </c>
      <c r="D55" s="110">
        <f>IFERROR(VLOOKUP($B55,MMWR_TRAD_AGG_STATE_COMP[],D$1,0),"ERROR")</f>
        <v>381.60873573819998</v>
      </c>
      <c r="E55" s="111">
        <f>IFERROR(VLOOKUP($B55,MMWR_TRAD_AGG_STATE_COMP[],E$1,0),"ERROR")</f>
        <v>7382</v>
      </c>
      <c r="F55" s="112">
        <f>IFERROR(VLOOKUP($B55,MMWR_TRAD_AGG_STATE_COMP[],F$1,0),"ERROR")</f>
        <v>1358</v>
      </c>
      <c r="G55" s="113">
        <f t="shared" si="4"/>
        <v>0.18396098618260634</v>
      </c>
      <c r="H55" s="111">
        <f>IFERROR(VLOOKUP($B55,MMWR_TRAD_AGG_STATE_COMP[],H$1,0),"ERROR")</f>
        <v>15901</v>
      </c>
      <c r="I55" s="112">
        <f>IFERROR(VLOOKUP($B55,MMWR_TRAD_AGG_STATE_COMP[],I$1,0),"ERROR")</f>
        <v>8918</v>
      </c>
      <c r="J55" s="114">
        <f t="shared" si="5"/>
        <v>0.56084522985975727</v>
      </c>
      <c r="K55" s="111">
        <f>IFERROR(VLOOKUP($B55,MMWR_TRAD_AGG_STATE_COMP[],K$1,0),"ERROR")</f>
        <v>4119</v>
      </c>
      <c r="L55" s="112">
        <f>IFERROR(VLOOKUP($B55,MMWR_TRAD_AGG_STATE_COMP[],L$1,0),"ERROR")</f>
        <v>2826</v>
      </c>
      <c r="M55" s="114">
        <f t="shared" si="6"/>
        <v>0.68608885651857243</v>
      </c>
      <c r="N55" s="111">
        <f>IFERROR(VLOOKUP($B55,MMWR_TRAD_AGG_STATE_COMP[],N$1,0),"ERROR")</f>
        <v>5939</v>
      </c>
      <c r="O55" s="112">
        <f>IFERROR(VLOOKUP($B55,MMWR_TRAD_AGG_STATE_COMP[],O$1,0),"ERROR")</f>
        <v>4458</v>
      </c>
      <c r="P55" s="114">
        <f t="shared" si="7"/>
        <v>0.75063141943088063</v>
      </c>
      <c r="Q55" s="115">
        <f>IFERROR(VLOOKUP($B55,MMWR_TRAD_AGG_STATE_COMP[],Q$1,0),"ERROR")</f>
        <v>15</v>
      </c>
      <c r="R55" s="115">
        <f>IFERROR(VLOOKUP($B55,MMWR_TRAD_AGG_STATE_COMP[],R$1,0),"ERROR")</f>
        <v>152</v>
      </c>
      <c r="S55" s="115">
        <f>IFERROR(VLOOKUP($B55,MMWR_APP_STATE_COMP[],S$1,0),"ERROR")</f>
        <v>4871</v>
      </c>
      <c r="T55" s="28"/>
    </row>
    <row r="56" spans="1:20" s="123" customFormat="1" x14ac:dyDescent="0.2">
      <c r="A56" s="28"/>
      <c r="B56" s="126" t="s">
        <v>379</v>
      </c>
      <c r="C56" s="102">
        <f>IFERROR(VLOOKUP($B56,MMWR_TRAD_AGG_ST_DISTRICT_COMP[],C$1,0),"ERROR")</f>
        <v>59698</v>
      </c>
      <c r="D56" s="103">
        <f>IFERROR(VLOOKUP($B56,MMWR_TRAD_AGG_ST_DISTRICT_COMP[],D$1,0),"ERROR")</f>
        <v>354.11904921439998</v>
      </c>
      <c r="E56" s="102">
        <f>IFERROR(VLOOKUP($B56,MMWR_TRAD_AGG_ST_DISTRICT_COMP[],E$1,0),"ERROR")</f>
        <v>79850</v>
      </c>
      <c r="F56" s="102">
        <f>IFERROR(VLOOKUP($B56,MMWR_TRAD_AGG_ST_DISTRICT_COMP[],F$1,0),"ERROR")</f>
        <v>18601</v>
      </c>
      <c r="G56" s="104">
        <f t="shared" si="4"/>
        <v>0.23294927989981215</v>
      </c>
      <c r="H56" s="102">
        <f>IFERROR(VLOOKUP($B56,MMWR_TRAD_AGG_ST_DISTRICT_COMP[],H$1,0),"ERROR")</f>
        <v>107230</v>
      </c>
      <c r="I56" s="102">
        <f>IFERROR(VLOOKUP($B56,MMWR_TRAD_AGG_ST_DISTRICT_COMP[],I$1,0),"ERROR")</f>
        <v>58049</v>
      </c>
      <c r="J56" s="105">
        <f t="shared" si="5"/>
        <v>0.54135036836706141</v>
      </c>
      <c r="K56" s="102">
        <f>IFERROR(VLOOKUP($B56,MMWR_TRAD_AGG_ST_DISTRICT_COMP[],K$1,0),"ERROR")</f>
        <v>30708</v>
      </c>
      <c r="L56" s="102">
        <f>IFERROR(VLOOKUP($B56,MMWR_TRAD_AGG_ST_DISTRICT_COMP[],L$1,0),"ERROR")</f>
        <v>24926</v>
      </c>
      <c r="M56" s="105">
        <f t="shared" si="6"/>
        <v>0.81171030350397289</v>
      </c>
      <c r="N56" s="102">
        <f>IFERROR(VLOOKUP($B56,MMWR_TRAD_AGG_ST_DISTRICT_COMP[],N$1,0),"ERROR")</f>
        <v>43268</v>
      </c>
      <c r="O56" s="102">
        <f>IFERROR(VLOOKUP($B56,MMWR_TRAD_AGG_ST_DISTRICT_COMP[],O$1,0),"ERROR")</f>
        <v>30450</v>
      </c>
      <c r="P56" s="105">
        <f t="shared" si="7"/>
        <v>0.70375335120643434</v>
      </c>
      <c r="Q56" s="102">
        <f>IFERROR(VLOOKUP($B56,MMWR_TRAD_AGG_ST_DISTRICT_COMP[],Q$1,0),"ERROR")</f>
        <v>6604</v>
      </c>
      <c r="R56" s="106">
        <f>IFERROR(VLOOKUP($B56,MMWR_TRAD_AGG_ST_DISTRICT_COMP[],R$1,0),"ERROR")</f>
        <v>1284</v>
      </c>
      <c r="S56" s="106">
        <f>SUM(S57:S63)</f>
        <v>89349</v>
      </c>
      <c r="T56" s="28"/>
    </row>
    <row r="57" spans="1:20" s="123" customFormat="1" x14ac:dyDescent="0.2">
      <c r="A57" s="28"/>
      <c r="B57" s="127" t="s">
        <v>387</v>
      </c>
      <c r="C57" s="109">
        <f>IFERROR(VLOOKUP($B57,MMWR_TRAD_AGG_STATE_COMP[],C$1,0),"ERROR")</f>
        <v>10408</v>
      </c>
      <c r="D57" s="110">
        <f>IFERROR(VLOOKUP($B57,MMWR_TRAD_AGG_STATE_COMP[],D$1,0),"ERROR")</f>
        <v>346.33531898540002</v>
      </c>
      <c r="E57" s="111">
        <f>IFERROR(VLOOKUP($B57,MMWR_TRAD_AGG_STATE_COMP[],E$1,0),"ERROR")</f>
        <v>8152</v>
      </c>
      <c r="F57" s="112">
        <f>IFERROR(VLOOKUP($B57,MMWR_TRAD_AGG_STATE_COMP[],F$1,0),"ERROR")</f>
        <v>1942</v>
      </c>
      <c r="G57" s="113">
        <f t="shared" si="4"/>
        <v>0.23822374877330715</v>
      </c>
      <c r="H57" s="111">
        <f>IFERROR(VLOOKUP($B57,MMWR_TRAD_AGG_STATE_COMP[],H$1,0),"ERROR")</f>
        <v>16177</v>
      </c>
      <c r="I57" s="112">
        <f>IFERROR(VLOOKUP($B57,MMWR_TRAD_AGG_STATE_COMP[],I$1,0),"ERROR")</f>
        <v>9253</v>
      </c>
      <c r="J57" s="114">
        <f t="shared" si="5"/>
        <v>0.57198491685726649</v>
      </c>
      <c r="K57" s="111">
        <f>IFERROR(VLOOKUP($B57,MMWR_TRAD_AGG_STATE_COMP[],K$1,0),"ERROR")</f>
        <v>4923</v>
      </c>
      <c r="L57" s="112">
        <f>IFERROR(VLOOKUP($B57,MMWR_TRAD_AGG_STATE_COMP[],L$1,0),"ERROR")</f>
        <v>4159</v>
      </c>
      <c r="M57" s="114">
        <f t="shared" si="6"/>
        <v>0.84481007515742434</v>
      </c>
      <c r="N57" s="111">
        <f>IFERROR(VLOOKUP($B57,MMWR_TRAD_AGG_STATE_COMP[],N$1,0),"ERROR")</f>
        <v>3300</v>
      </c>
      <c r="O57" s="112">
        <f>IFERROR(VLOOKUP($B57,MMWR_TRAD_AGG_STATE_COMP[],O$1,0),"ERROR")</f>
        <v>1944</v>
      </c>
      <c r="P57" s="114">
        <f t="shared" si="7"/>
        <v>0.58909090909090911</v>
      </c>
      <c r="Q57" s="115">
        <f>IFERROR(VLOOKUP($B57,MMWR_TRAD_AGG_STATE_COMP[],Q$1,0),"ERROR")</f>
        <v>532</v>
      </c>
      <c r="R57" s="115">
        <f>IFERROR(VLOOKUP($B57,MMWR_TRAD_AGG_STATE_COMP[],R$1,0),"ERROR")</f>
        <v>414</v>
      </c>
      <c r="S57" s="115">
        <f>IFERROR(VLOOKUP($B57,MMWR_APP_STATE_COMP[],S$1,0),"ERROR")</f>
        <v>9913</v>
      </c>
      <c r="T57" s="28"/>
    </row>
    <row r="58" spans="1:20" s="123" customFormat="1" x14ac:dyDescent="0.2">
      <c r="A58" s="28"/>
      <c r="B58" s="127" t="s">
        <v>424</v>
      </c>
      <c r="C58" s="109">
        <f>IFERROR(VLOOKUP($B58,MMWR_TRAD_AGG_STATE_COMP[],C$1,0),"ERROR")</f>
        <v>18597</v>
      </c>
      <c r="D58" s="110">
        <f>IFERROR(VLOOKUP($B58,MMWR_TRAD_AGG_STATE_COMP[],D$1,0),"ERROR")</f>
        <v>338.44636231649997</v>
      </c>
      <c r="E58" s="111">
        <f>IFERROR(VLOOKUP($B58,MMWR_TRAD_AGG_STATE_COMP[],E$1,0),"ERROR")</f>
        <v>26124</v>
      </c>
      <c r="F58" s="112">
        <f>IFERROR(VLOOKUP($B58,MMWR_TRAD_AGG_STATE_COMP[],F$1,0),"ERROR")</f>
        <v>6013</v>
      </c>
      <c r="G58" s="113">
        <f t="shared" si="4"/>
        <v>0.23017148981779206</v>
      </c>
      <c r="H58" s="111">
        <f>IFERROR(VLOOKUP($B58,MMWR_TRAD_AGG_STATE_COMP[],H$1,0),"ERROR")</f>
        <v>31830</v>
      </c>
      <c r="I58" s="112">
        <f>IFERROR(VLOOKUP($B58,MMWR_TRAD_AGG_STATE_COMP[],I$1,0),"ERROR")</f>
        <v>17392</v>
      </c>
      <c r="J58" s="114">
        <f t="shared" si="5"/>
        <v>0.54640276468740179</v>
      </c>
      <c r="K58" s="111">
        <f>IFERROR(VLOOKUP($B58,MMWR_TRAD_AGG_STATE_COMP[],K$1,0),"ERROR")</f>
        <v>7898</v>
      </c>
      <c r="L58" s="112">
        <f>IFERROR(VLOOKUP($B58,MMWR_TRAD_AGG_STATE_COMP[],L$1,0),"ERROR")</f>
        <v>6161</v>
      </c>
      <c r="M58" s="114">
        <f t="shared" si="6"/>
        <v>0.78007090402633583</v>
      </c>
      <c r="N58" s="111">
        <f>IFERROR(VLOOKUP($B58,MMWR_TRAD_AGG_STATE_COMP[],N$1,0),"ERROR")</f>
        <v>18866</v>
      </c>
      <c r="O58" s="112">
        <f>IFERROR(VLOOKUP($B58,MMWR_TRAD_AGG_STATE_COMP[],O$1,0),"ERROR")</f>
        <v>13436</v>
      </c>
      <c r="P58" s="114">
        <f t="shared" si="7"/>
        <v>0.71218064242552737</v>
      </c>
      <c r="Q58" s="115">
        <f>IFERROR(VLOOKUP($B58,MMWR_TRAD_AGG_STATE_COMP[],Q$1,0),"ERROR")</f>
        <v>2300</v>
      </c>
      <c r="R58" s="115">
        <f>IFERROR(VLOOKUP($B58,MMWR_TRAD_AGG_STATE_COMP[],R$1,0),"ERROR")</f>
        <v>316</v>
      </c>
      <c r="S58" s="115">
        <f>IFERROR(VLOOKUP($B58,MMWR_APP_STATE_COMP[],S$1,0),"ERROR")</f>
        <v>31340</v>
      </c>
      <c r="T58" s="28"/>
    </row>
    <row r="59" spans="1:20" s="123" customFormat="1" x14ac:dyDescent="0.2">
      <c r="A59" s="28"/>
      <c r="B59" s="127" t="s">
        <v>380</v>
      </c>
      <c r="C59" s="109">
        <f>IFERROR(VLOOKUP($B59,MMWR_TRAD_AGG_STATE_COMP[],C$1,0),"ERROR")</f>
        <v>13376</v>
      </c>
      <c r="D59" s="110">
        <f>IFERROR(VLOOKUP($B59,MMWR_TRAD_AGG_STATE_COMP[],D$1,0),"ERROR")</f>
        <v>358.71703050240001</v>
      </c>
      <c r="E59" s="111">
        <f>IFERROR(VLOOKUP($B59,MMWR_TRAD_AGG_STATE_COMP[],E$1,0),"ERROR")</f>
        <v>19323</v>
      </c>
      <c r="F59" s="112">
        <f>IFERROR(VLOOKUP($B59,MMWR_TRAD_AGG_STATE_COMP[],F$1,0),"ERROR")</f>
        <v>5207</v>
      </c>
      <c r="G59" s="113">
        <f t="shared" si="4"/>
        <v>0.26947161413859133</v>
      </c>
      <c r="H59" s="111">
        <f>IFERROR(VLOOKUP($B59,MMWR_TRAD_AGG_STATE_COMP[],H$1,0),"ERROR")</f>
        <v>24120</v>
      </c>
      <c r="I59" s="112">
        <f>IFERROR(VLOOKUP($B59,MMWR_TRAD_AGG_STATE_COMP[],I$1,0),"ERROR")</f>
        <v>13484</v>
      </c>
      <c r="J59" s="114">
        <f t="shared" si="5"/>
        <v>0.55903814262023221</v>
      </c>
      <c r="K59" s="111">
        <f>IFERROR(VLOOKUP($B59,MMWR_TRAD_AGG_STATE_COMP[],K$1,0),"ERROR")</f>
        <v>8732</v>
      </c>
      <c r="L59" s="112">
        <f>IFERROR(VLOOKUP($B59,MMWR_TRAD_AGG_STATE_COMP[],L$1,0),"ERROR")</f>
        <v>7230</v>
      </c>
      <c r="M59" s="114">
        <f t="shared" si="6"/>
        <v>0.8279890059551076</v>
      </c>
      <c r="N59" s="111">
        <f>IFERROR(VLOOKUP($B59,MMWR_TRAD_AGG_STATE_COMP[],N$1,0),"ERROR")</f>
        <v>10281</v>
      </c>
      <c r="O59" s="112">
        <f>IFERROR(VLOOKUP($B59,MMWR_TRAD_AGG_STATE_COMP[],O$1,0),"ERROR")</f>
        <v>7627</v>
      </c>
      <c r="P59" s="114">
        <f t="shared" si="7"/>
        <v>0.74185390526213402</v>
      </c>
      <c r="Q59" s="115">
        <f>IFERROR(VLOOKUP($B59,MMWR_TRAD_AGG_STATE_COMP[],Q$1,0),"ERROR")</f>
        <v>1135</v>
      </c>
      <c r="R59" s="115">
        <f>IFERROR(VLOOKUP($B59,MMWR_TRAD_AGG_STATE_COMP[],R$1,0),"ERROR")</f>
        <v>41</v>
      </c>
      <c r="S59" s="115">
        <f>IFERROR(VLOOKUP($B59,MMWR_APP_STATE_COMP[],S$1,0),"ERROR")</f>
        <v>18958</v>
      </c>
      <c r="T59" s="28"/>
    </row>
    <row r="60" spans="1:20" s="123" customFormat="1" x14ac:dyDescent="0.2">
      <c r="A60" s="28"/>
      <c r="B60" s="127" t="s">
        <v>392</v>
      </c>
      <c r="C60" s="109">
        <f>IFERROR(VLOOKUP($B60,MMWR_TRAD_AGG_STATE_COMP[],C$1,0),"ERROR")</f>
        <v>5084</v>
      </c>
      <c r="D60" s="110">
        <f>IFERROR(VLOOKUP($B60,MMWR_TRAD_AGG_STATE_COMP[],D$1,0),"ERROR")</f>
        <v>522.08752950430005</v>
      </c>
      <c r="E60" s="111">
        <f>IFERROR(VLOOKUP($B60,MMWR_TRAD_AGG_STATE_COMP[],E$1,0),"ERROR")</f>
        <v>3807</v>
      </c>
      <c r="F60" s="112">
        <f>IFERROR(VLOOKUP($B60,MMWR_TRAD_AGG_STATE_COMP[],F$1,0),"ERROR")</f>
        <v>578</v>
      </c>
      <c r="G60" s="113">
        <f t="shared" si="4"/>
        <v>0.15182558444969793</v>
      </c>
      <c r="H60" s="111">
        <f>IFERROR(VLOOKUP($B60,MMWR_TRAD_AGG_STATE_COMP[],H$1,0),"ERROR")</f>
        <v>8406</v>
      </c>
      <c r="I60" s="112">
        <f>IFERROR(VLOOKUP($B60,MMWR_TRAD_AGG_STATE_COMP[],I$1,0),"ERROR")</f>
        <v>5453</v>
      </c>
      <c r="J60" s="114">
        <f t="shared" si="5"/>
        <v>0.64870330716155122</v>
      </c>
      <c r="K60" s="111">
        <f>IFERROR(VLOOKUP($B60,MMWR_TRAD_AGG_STATE_COMP[],K$1,0),"ERROR")</f>
        <v>2272</v>
      </c>
      <c r="L60" s="112">
        <f>IFERROR(VLOOKUP($B60,MMWR_TRAD_AGG_STATE_COMP[],L$1,0),"ERROR")</f>
        <v>1954</v>
      </c>
      <c r="M60" s="114">
        <f t="shared" si="6"/>
        <v>0.86003521126760563</v>
      </c>
      <c r="N60" s="111">
        <f>IFERROR(VLOOKUP($B60,MMWR_TRAD_AGG_STATE_COMP[],N$1,0),"ERROR")</f>
        <v>2156</v>
      </c>
      <c r="O60" s="112">
        <f>IFERROR(VLOOKUP($B60,MMWR_TRAD_AGG_STATE_COMP[],O$1,0),"ERROR")</f>
        <v>1549</v>
      </c>
      <c r="P60" s="114">
        <f t="shared" si="7"/>
        <v>0.71846011131725418</v>
      </c>
      <c r="Q60" s="115">
        <f>IFERROR(VLOOKUP($B60,MMWR_TRAD_AGG_STATE_COMP[],Q$1,0),"ERROR")</f>
        <v>675</v>
      </c>
      <c r="R60" s="115">
        <f>IFERROR(VLOOKUP($B60,MMWR_TRAD_AGG_STATE_COMP[],R$1,0),"ERROR")</f>
        <v>159</v>
      </c>
      <c r="S60" s="115">
        <f>IFERROR(VLOOKUP($B60,MMWR_APP_STATE_COMP[],S$1,0),"ERROR")</f>
        <v>3194</v>
      </c>
      <c r="T60" s="28"/>
    </row>
    <row r="61" spans="1:20" s="123" customFormat="1" x14ac:dyDescent="0.2">
      <c r="A61" s="28"/>
      <c r="B61" s="127" t="s">
        <v>426</v>
      </c>
      <c r="C61" s="109">
        <f>IFERROR(VLOOKUP($B61,MMWR_TRAD_AGG_STATE_COMP[],C$1,0),"ERROR")</f>
        <v>1180</v>
      </c>
      <c r="D61" s="110">
        <f>IFERROR(VLOOKUP($B61,MMWR_TRAD_AGG_STATE_COMP[],D$1,0),"ERROR")</f>
        <v>235.9686440678</v>
      </c>
      <c r="E61" s="111">
        <f>IFERROR(VLOOKUP($B61,MMWR_TRAD_AGG_STATE_COMP[],E$1,0),"ERROR")</f>
        <v>3037</v>
      </c>
      <c r="F61" s="112">
        <f>IFERROR(VLOOKUP($B61,MMWR_TRAD_AGG_STATE_COMP[],F$1,0),"ERROR")</f>
        <v>643</v>
      </c>
      <c r="G61" s="113">
        <f t="shared" si="4"/>
        <v>0.21172209417188015</v>
      </c>
      <c r="H61" s="111">
        <f>IFERROR(VLOOKUP($B61,MMWR_TRAD_AGG_STATE_COMP[],H$1,0),"ERROR")</f>
        <v>4628</v>
      </c>
      <c r="I61" s="112">
        <f>IFERROR(VLOOKUP($B61,MMWR_TRAD_AGG_STATE_COMP[],I$1,0),"ERROR")</f>
        <v>1728</v>
      </c>
      <c r="J61" s="114">
        <f t="shared" si="5"/>
        <v>0.37337942955920483</v>
      </c>
      <c r="K61" s="111">
        <f>IFERROR(VLOOKUP($B61,MMWR_TRAD_AGG_STATE_COMP[],K$1,0),"ERROR")</f>
        <v>1002</v>
      </c>
      <c r="L61" s="112">
        <f>IFERROR(VLOOKUP($B61,MMWR_TRAD_AGG_STATE_COMP[],L$1,0),"ERROR")</f>
        <v>821</v>
      </c>
      <c r="M61" s="114">
        <f t="shared" si="6"/>
        <v>0.81936127744510978</v>
      </c>
      <c r="N61" s="111">
        <f>IFERROR(VLOOKUP($B61,MMWR_TRAD_AGG_STATE_COMP[],N$1,0),"ERROR")</f>
        <v>1732</v>
      </c>
      <c r="O61" s="112">
        <f>IFERROR(VLOOKUP($B61,MMWR_TRAD_AGG_STATE_COMP[],O$1,0),"ERROR")</f>
        <v>1248</v>
      </c>
      <c r="P61" s="114">
        <f t="shared" si="7"/>
        <v>0.72055427251732107</v>
      </c>
      <c r="Q61" s="115">
        <f>IFERROR(VLOOKUP($B61,MMWR_TRAD_AGG_STATE_COMP[],Q$1,0),"ERROR")</f>
        <v>417</v>
      </c>
      <c r="R61" s="115">
        <f>IFERROR(VLOOKUP($B61,MMWR_TRAD_AGG_STATE_COMP[],R$1,0),"ERROR")</f>
        <v>2</v>
      </c>
      <c r="S61" s="115">
        <f>IFERROR(VLOOKUP($B61,MMWR_APP_STATE_COMP[],S$1,0),"ERROR")</f>
        <v>5281</v>
      </c>
      <c r="T61" s="28"/>
    </row>
    <row r="62" spans="1:20" s="123" customFormat="1" x14ac:dyDescent="0.2">
      <c r="A62" s="28"/>
      <c r="B62" s="127" t="s">
        <v>382</v>
      </c>
      <c r="C62" s="109">
        <f>IFERROR(VLOOKUP($B62,MMWR_TRAD_AGG_STATE_COMP[],C$1,0),"ERROR")</f>
        <v>6917</v>
      </c>
      <c r="D62" s="110">
        <f>IFERROR(VLOOKUP($B62,MMWR_TRAD_AGG_STATE_COMP[],D$1,0),"ERROR")</f>
        <v>335.7387595779</v>
      </c>
      <c r="E62" s="111">
        <f>IFERROR(VLOOKUP($B62,MMWR_TRAD_AGG_STATE_COMP[],E$1,0),"ERROR")</f>
        <v>9986</v>
      </c>
      <c r="F62" s="112">
        <f>IFERROR(VLOOKUP($B62,MMWR_TRAD_AGG_STATE_COMP[],F$1,0),"ERROR")</f>
        <v>2619</v>
      </c>
      <c r="G62" s="113">
        <f t="shared" si="4"/>
        <v>0.26226717404366112</v>
      </c>
      <c r="H62" s="111">
        <f>IFERROR(VLOOKUP($B62,MMWR_TRAD_AGG_STATE_COMP[],H$1,0),"ERROR")</f>
        <v>12733</v>
      </c>
      <c r="I62" s="112">
        <f>IFERROR(VLOOKUP($B62,MMWR_TRAD_AGG_STATE_COMP[],I$1,0),"ERROR")</f>
        <v>7098</v>
      </c>
      <c r="J62" s="114">
        <f t="shared" si="5"/>
        <v>0.55744914788345246</v>
      </c>
      <c r="K62" s="111">
        <f>IFERROR(VLOOKUP($B62,MMWR_TRAD_AGG_STATE_COMP[],K$1,0),"ERROR")</f>
        <v>3089</v>
      </c>
      <c r="L62" s="112">
        <f>IFERROR(VLOOKUP($B62,MMWR_TRAD_AGG_STATE_COMP[],L$1,0),"ERROR")</f>
        <v>2383</v>
      </c>
      <c r="M62" s="114">
        <f t="shared" si="6"/>
        <v>0.77144707024927162</v>
      </c>
      <c r="N62" s="111">
        <f>IFERROR(VLOOKUP($B62,MMWR_TRAD_AGG_STATE_COMP[],N$1,0),"ERROR")</f>
        <v>3787</v>
      </c>
      <c r="O62" s="112">
        <f>IFERROR(VLOOKUP($B62,MMWR_TRAD_AGG_STATE_COMP[],O$1,0),"ERROR")</f>
        <v>2528</v>
      </c>
      <c r="P62" s="114">
        <f t="shared" si="7"/>
        <v>0.66754687087404274</v>
      </c>
      <c r="Q62" s="115">
        <f>IFERROR(VLOOKUP($B62,MMWR_TRAD_AGG_STATE_COMP[],Q$1,0),"ERROR")</f>
        <v>749</v>
      </c>
      <c r="R62" s="115">
        <f>IFERROR(VLOOKUP($B62,MMWR_TRAD_AGG_STATE_COMP[],R$1,0),"ERROR")</f>
        <v>64</v>
      </c>
      <c r="S62" s="115">
        <f>IFERROR(VLOOKUP($B62,MMWR_APP_STATE_COMP[],S$1,0),"ERROR")</f>
        <v>13365</v>
      </c>
      <c r="T62" s="28"/>
    </row>
    <row r="63" spans="1:20" s="123" customFormat="1" x14ac:dyDescent="0.2">
      <c r="A63" s="28"/>
      <c r="B63" s="127" t="s">
        <v>383</v>
      </c>
      <c r="C63" s="109">
        <f>IFERROR(VLOOKUP($B63,MMWR_TRAD_AGG_STATE_COMP[],C$1,0),"ERROR")</f>
        <v>4136</v>
      </c>
      <c r="D63" s="110">
        <f>IFERROR(VLOOKUP($B63,MMWR_TRAD_AGG_STATE_COMP[],D$1,0),"ERROR")</f>
        <v>287.28578336560003</v>
      </c>
      <c r="E63" s="111">
        <f>IFERROR(VLOOKUP($B63,MMWR_TRAD_AGG_STATE_COMP[],E$1,0),"ERROR")</f>
        <v>9421</v>
      </c>
      <c r="F63" s="112">
        <f>IFERROR(VLOOKUP($B63,MMWR_TRAD_AGG_STATE_COMP[],F$1,0),"ERROR")</f>
        <v>1599</v>
      </c>
      <c r="G63" s="113">
        <f t="shared" si="4"/>
        <v>0.16972720517991721</v>
      </c>
      <c r="H63" s="111">
        <f>IFERROR(VLOOKUP($B63,MMWR_TRAD_AGG_STATE_COMP[],H$1,0),"ERROR")</f>
        <v>9336</v>
      </c>
      <c r="I63" s="112">
        <f>IFERROR(VLOOKUP($B63,MMWR_TRAD_AGG_STATE_COMP[],I$1,0),"ERROR")</f>
        <v>3641</v>
      </c>
      <c r="J63" s="114">
        <f t="shared" si="5"/>
        <v>0.38999571550985435</v>
      </c>
      <c r="K63" s="111">
        <f>IFERROR(VLOOKUP($B63,MMWR_TRAD_AGG_STATE_COMP[],K$1,0),"ERROR")</f>
        <v>2792</v>
      </c>
      <c r="L63" s="112">
        <f>IFERROR(VLOOKUP($B63,MMWR_TRAD_AGG_STATE_COMP[],L$1,0),"ERROR")</f>
        <v>2218</v>
      </c>
      <c r="M63" s="114">
        <f t="shared" si="6"/>
        <v>0.79441260744985676</v>
      </c>
      <c r="N63" s="111">
        <f>IFERROR(VLOOKUP($B63,MMWR_TRAD_AGG_STATE_COMP[],N$1,0),"ERROR")</f>
        <v>3146</v>
      </c>
      <c r="O63" s="112">
        <f>IFERROR(VLOOKUP($B63,MMWR_TRAD_AGG_STATE_COMP[],O$1,0),"ERROR")</f>
        <v>2118</v>
      </c>
      <c r="P63" s="114">
        <f t="shared" si="7"/>
        <v>0.67323585505403682</v>
      </c>
      <c r="Q63" s="115">
        <f>IFERROR(VLOOKUP($B63,MMWR_TRAD_AGG_STATE_COMP[],Q$1,0),"ERROR")</f>
        <v>796</v>
      </c>
      <c r="R63" s="115">
        <f>IFERROR(VLOOKUP($B63,MMWR_TRAD_AGG_STATE_COMP[],R$1,0),"ERROR")</f>
        <v>288</v>
      </c>
      <c r="S63" s="115">
        <f>IFERROR(VLOOKUP($B63,MMWR_APP_STATE_COMP[],S$1,0),"ERROR")</f>
        <v>7298</v>
      </c>
      <c r="T63" s="28"/>
    </row>
    <row r="64" spans="1:20" s="123" customFormat="1" x14ac:dyDescent="0.2">
      <c r="A64" s="28"/>
      <c r="B64" s="128" t="s">
        <v>8</v>
      </c>
      <c r="C64" s="102">
        <f>IFERROR(VLOOKUP($B64,MMWR_TRAD_AGG_ST_DISTRICT_COMP[],C$1,0),"ERROR")</f>
        <v>3041</v>
      </c>
      <c r="D64" s="103">
        <f>IFERROR(VLOOKUP($B64,MMWR_TRAD_AGG_ST_DISTRICT_COMP[],D$1,0),"ERROR")</f>
        <v>335.76389345609999</v>
      </c>
      <c r="E64" s="102">
        <f>IFERROR(VLOOKUP($B64,MMWR_TRAD_AGG_ST_DISTRICT_COMP[],E$1,0),"ERROR")</f>
        <v>4452</v>
      </c>
      <c r="F64" s="102">
        <f>IFERROR(VLOOKUP($B64,MMWR_TRAD_AGG_ST_DISTRICT_COMP[],F$1,0),"ERROR")</f>
        <v>1719</v>
      </c>
      <c r="G64" s="104">
        <f t="shared" si="4"/>
        <v>0.38611859838274931</v>
      </c>
      <c r="H64" s="102">
        <f>IFERROR(VLOOKUP($B64,MMWR_TRAD_AGG_ST_DISTRICT_COMP[],H$1,0),"ERROR")</f>
        <v>5047</v>
      </c>
      <c r="I64" s="102">
        <f>IFERROR(VLOOKUP($B64,MMWR_TRAD_AGG_ST_DISTRICT_COMP[],I$1,0),"ERROR")</f>
        <v>2852</v>
      </c>
      <c r="J64" s="105">
        <f t="shared" si="5"/>
        <v>0.56508817119080645</v>
      </c>
      <c r="K64" s="102">
        <f>IFERROR(VLOOKUP($B64,MMWR_TRAD_AGG_ST_DISTRICT_COMP[],K$1,0),"ERROR")</f>
        <v>1504</v>
      </c>
      <c r="L64" s="102">
        <f>IFERROR(VLOOKUP($B64,MMWR_TRAD_AGG_ST_DISTRICT_COMP[],L$1,0),"ERROR")</f>
        <v>1006</v>
      </c>
      <c r="M64" s="105">
        <f t="shared" si="6"/>
        <v>0.6688829787234043</v>
      </c>
      <c r="N64" s="102">
        <f>IFERROR(VLOOKUP($B64,MMWR_TRAD_AGG_ST_DISTRICT_COMP[],N$1,0),"ERROR")</f>
        <v>1316</v>
      </c>
      <c r="O64" s="102">
        <f>IFERROR(VLOOKUP($B64,MMWR_TRAD_AGG_ST_DISTRICT_COMP[],O$1,0),"ERROR")</f>
        <v>839</v>
      </c>
      <c r="P64" s="105">
        <f t="shared" si="7"/>
        <v>0.63753799392097266</v>
      </c>
      <c r="Q64" s="102">
        <f>IFERROR(VLOOKUP($B64,MMWR_TRAD_AGG_ST_DISTRICT_COMP[],Q$1,0),"ERROR")</f>
        <v>502</v>
      </c>
      <c r="R64" s="106">
        <f>IFERROR(VLOOKUP($B64,MMWR_TRAD_AGG_ST_DISTRICT_COMP[],R$1,0),"ERROR")</f>
        <v>151</v>
      </c>
      <c r="S64" s="106">
        <f>IFERROR(VLOOKUP($B64,MMWR_APP_STATE_COMP[],S$1,0),"ERROR")</f>
        <v>344</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486</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487</v>
      </c>
      <c r="T68" s="28"/>
    </row>
    <row r="69" spans="1:20" s="123" customFormat="1" x14ac:dyDescent="0.2">
      <c r="A69" s="28"/>
      <c r="B69" s="129" t="s">
        <v>461</v>
      </c>
      <c r="C69" s="119">
        <f>IFERROR(VLOOKUP($B69,MMWR_TRAD_AGG_RO_PEN[],C$1,0),"ERROR")</f>
        <v>22744</v>
      </c>
      <c r="D69" s="120">
        <f>IFERROR(VLOOKUP($B69,MMWR_TRAD_AGG_RO_PEN[],D$1,0),"ERROR")</f>
        <v>89.885596201200002</v>
      </c>
      <c r="E69" s="119">
        <f>IFERROR(VLOOKUP($B69,MMWR_TRAD_AGG_RO_PEN[],E$1,0),"ERROR")</f>
        <v>30233</v>
      </c>
      <c r="F69" s="119">
        <f>IFERROR(VLOOKUP($B69,MMWR_TRAD_AGG_RO_PEN[],F$1,0),"ERROR")</f>
        <v>4053</v>
      </c>
      <c r="G69" s="98">
        <f t="shared" ref="G69:G100" si="8">IFERROR(F69/E69,"0%")</f>
        <v>0.13405880990970132</v>
      </c>
      <c r="H69" s="119">
        <f>IFERROR(VLOOKUP($B69,MMWR_TRAD_AGG_RO_PEN[],H$1,0),"ERROR")</f>
        <v>32882</v>
      </c>
      <c r="I69" s="119">
        <f>IFERROR(VLOOKUP($B69,MMWR_TRAD_AGG_RO_PEN[],I$1,0),"ERROR")</f>
        <v>7794</v>
      </c>
      <c r="J69" s="98">
        <f t="shared" ref="J69:J100" si="9">IFERROR(I69/H69,"0%")</f>
        <v>0.23702937777507452</v>
      </c>
      <c r="K69" s="119">
        <f>IFERROR(VLOOKUP($B69,MMWR_TRAD_AGG_RO_PEN[],K$1,0),"ERROR")</f>
        <v>250</v>
      </c>
      <c r="L69" s="119">
        <f>IFERROR(VLOOKUP($B69,MMWR_TRAD_AGG_RO_PEN[],L$1,0),"ERROR")</f>
        <v>237</v>
      </c>
      <c r="M69" s="98">
        <f t="shared" ref="M69:M100" si="10">IFERROR(L69/K69,"0%")</f>
        <v>0.94799999999999995</v>
      </c>
      <c r="N69" s="119">
        <f>IFERROR(VLOOKUP($B69,MMWR_TRAD_AGG_RO_PEN[],N$1,0),"ERROR")</f>
        <v>1690</v>
      </c>
      <c r="O69" s="119">
        <f>IFERROR(VLOOKUP($B69,MMWR_TRAD_AGG_RO_PEN[],O$1,0),"ERROR")</f>
        <v>538</v>
      </c>
      <c r="P69" s="98">
        <f t="shared" ref="P69:P100" si="11">IFERROR(O69/N69,"0%")</f>
        <v>0.31834319526627219</v>
      </c>
      <c r="Q69" s="119">
        <f>IFERROR(VLOOKUP($B69,MMWR_TRAD_AGG_RO_PEN[],Q$1,0),"ERROR")</f>
        <v>12112</v>
      </c>
      <c r="R69" s="121">
        <f>IFERROR(VLOOKUP($B69,MMWR_TRAD_AGG_RO_PEN[],R$1,0),"ERROR")</f>
        <v>5965</v>
      </c>
      <c r="S69" s="121">
        <f>S70+S86+S99+S109+S119+S127</f>
        <v>5065</v>
      </c>
      <c r="T69" s="28"/>
    </row>
    <row r="70" spans="1:20" s="123" customFormat="1" x14ac:dyDescent="0.2">
      <c r="A70" s="28"/>
      <c r="B70" s="126" t="s">
        <v>368</v>
      </c>
      <c r="C70" s="102">
        <f>IFERROR(VLOOKUP($B70,MMWR_TRAD_AGG_ST_DISTRICT_PEN[],C$1,0),"ERROR")</f>
        <v>7081</v>
      </c>
      <c r="D70" s="103">
        <f>IFERROR(VLOOKUP($B70,MMWR_TRAD_AGG_ST_DISTRICT_PEN[],D$1,0),"ERROR")</f>
        <v>104.0971614179</v>
      </c>
      <c r="E70" s="102">
        <f>IFERROR(VLOOKUP($B70,MMWR_TRAD_AGG_ST_DISTRICT_PEN[],E$1,0),"ERROR")</f>
        <v>9645</v>
      </c>
      <c r="F70" s="102">
        <f>IFERROR(VLOOKUP($B70,MMWR_TRAD_AGG_ST_DISTRICT_PEN[],F$1,0),"ERROR")</f>
        <v>1700</v>
      </c>
      <c r="G70" s="104">
        <f t="shared" si="8"/>
        <v>0.17625712804561949</v>
      </c>
      <c r="H70" s="102">
        <f>IFERROR(VLOOKUP($B70,MMWR_TRAD_AGG_ST_DISTRICT_PEN[],H$1,0),"ERROR")</f>
        <v>9589</v>
      </c>
      <c r="I70" s="102">
        <f>IFERROR(VLOOKUP($B70,MMWR_TRAD_AGG_ST_DISTRICT_PEN[],I$1,0),"ERROR")</f>
        <v>2996</v>
      </c>
      <c r="J70" s="104">
        <f t="shared" si="9"/>
        <v>0.31244133903431015</v>
      </c>
      <c r="K70" s="102">
        <f>IFERROR(VLOOKUP($B70,MMWR_TRAD_AGG_ST_DISTRICT_PEN[],K$1,0),"ERROR")</f>
        <v>171</v>
      </c>
      <c r="L70" s="102">
        <f>IFERROR(VLOOKUP($B70,MMWR_TRAD_AGG_ST_DISTRICT_PEN[],L$1,0),"ERROR")</f>
        <v>165</v>
      </c>
      <c r="M70" s="104">
        <f t="shared" si="10"/>
        <v>0.96491228070175439</v>
      </c>
      <c r="N70" s="102">
        <f>IFERROR(VLOOKUP($B70,MMWR_TRAD_AGG_ST_DISTRICT_PEN[],N$1,0),"ERROR")</f>
        <v>433</v>
      </c>
      <c r="O70" s="102">
        <f>IFERROR(VLOOKUP($B70,MMWR_TRAD_AGG_ST_DISTRICT_PEN[],O$1,0),"ERROR")</f>
        <v>143</v>
      </c>
      <c r="P70" s="104">
        <f t="shared" si="11"/>
        <v>0.33025404157043881</v>
      </c>
      <c r="Q70" s="102">
        <f>IFERROR(VLOOKUP($B70,MMWR_TRAD_AGG_ST_DISTRICT_PEN[],Q$1,0),"ERROR")</f>
        <v>1225</v>
      </c>
      <c r="R70" s="106">
        <f>IFERROR(VLOOKUP($B70,MMWR_TRAD_AGG_ST_DISTRICT_PEN[],R$1,0),"ERROR")</f>
        <v>1844</v>
      </c>
      <c r="S70" s="106">
        <f>IFERROR(VLOOKUP($B70,MMWR_APP_STATE_PEN[],S$1,0),"ERROR")</f>
        <v>964</v>
      </c>
      <c r="T70" s="28"/>
    </row>
    <row r="71" spans="1:20" s="123" customFormat="1" x14ac:dyDescent="0.2">
      <c r="A71" s="28"/>
      <c r="B71" s="127" t="s">
        <v>372</v>
      </c>
      <c r="C71" s="109">
        <f>IFERROR(VLOOKUP($B71,MMWR_TRAD_AGG_STATE_PEN[],C$1,0),"ERROR")</f>
        <v>204</v>
      </c>
      <c r="D71" s="110">
        <f>IFERROR(VLOOKUP($B71,MMWR_TRAD_AGG_STATE_PEN[],D$1,0),"ERROR")</f>
        <v>108.5980392157</v>
      </c>
      <c r="E71" s="111">
        <f>IFERROR(VLOOKUP($B71,MMWR_TRAD_AGG_STATE_PEN[],E$1,0),"ERROR")</f>
        <v>368</v>
      </c>
      <c r="F71" s="112">
        <f>IFERROR(VLOOKUP($B71,MMWR_TRAD_AGG_STATE_PEN[],F$1,0),"ERROR")</f>
        <v>54</v>
      </c>
      <c r="G71" s="113">
        <f t="shared" si="8"/>
        <v>0.14673913043478262</v>
      </c>
      <c r="H71" s="111">
        <f>IFERROR(VLOOKUP($B71,MMWR_TRAD_AGG_STATE_PEN[],H$1,0),"ERROR")</f>
        <v>274</v>
      </c>
      <c r="I71" s="112">
        <f>IFERROR(VLOOKUP($B71,MMWR_TRAD_AGG_STATE_PEN[],I$1,0),"ERROR")</f>
        <v>87</v>
      </c>
      <c r="J71" s="114">
        <f t="shared" si="9"/>
        <v>0.31751824817518248</v>
      </c>
      <c r="K71" s="111">
        <f>IFERROR(VLOOKUP($B71,MMWR_TRAD_AGG_STATE_PEN[],K$1,0),"ERROR")</f>
        <v>0</v>
      </c>
      <c r="L71" s="112">
        <f>IFERROR(VLOOKUP($B71,MMWR_TRAD_AGG_STATE_PEN[],L$1,0),"ERROR")</f>
        <v>0</v>
      </c>
      <c r="M71" s="114" t="str">
        <f t="shared" si="10"/>
        <v>0%</v>
      </c>
      <c r="N71" s="111">
        <f>IFERROR(VLOOKUP($B71,MMWR_TRAD_AGG_STATE_PEN[],N$1,0),"ERROR")</f>
        <v>21</v>
      </c>
      <c r="O71" s="112">
        <f>IFERROR(VLOOKUP($B71,MMWR_TRAD_AGG_STATE_PEN[],O$1,0),"ERROR")</f>
        <v>5</v>
      </c>
      <c r="P71" s="114">
        <f t="shared" si="11"/>
        <v>0.23809523809523808</v>
      </c>
      <c r="Q71" s="115">
        <f>IFERROR(VLOOKUP($B71,MMWR_TRAD_AGG_STATE_PEN[],Q$1,0),"ERROR")</f>
        <v>29</v>
      </c>
      <c r="R71" s="115">
        <f>IFERROR(VLOOKUP($B71,MMWR_TRAD_AGG_STATE_PEN[],R$1,0),"ERROR")</f>
        <v>48</v>
      </c>
      <c r="S71" s="115">
        <f>IFERROR(VLOOKUP($B71,MMWR_APP_STATE_PEN[],S$1,0),"ERROR")</f>
        <v>31</v>
      </c>
      <c r="T71" s="28"/>
    </row>
    <row r="72" spans="1:20" s="123" customFormat="1" x14ac:dyDescent="0.2">
      <c r="A72" s="28"/>
      <c r="B72" s="127" t="s">
        <v>422</v>
      </c>
      <c r="C72" s="109">
        <f>IFERROR(VLOOKUP($B72,MMWR_TRAD_AGG_STATE_PEN[],C$1,0),"ERROR")</f>
        <v>58</v>
      </c>
      <c r="D72" s="110">
        <f>IFERROR(VLOOKUP($B72,MMWR_TRAD_AGG_STATE_PEN[],D$1,0),"ERROR")</f>
        <v>110.82758620689999</v>
      </c>
      <c r="E72" s="111">
        <f>IFERROR(VLOOKUP($B72,MMWR_TRAD_AGG_STATE_PEN[],E$1,0),"ERROR")</f>
        <v>79</v>
      </c>
      <c r="F72" s="112">
        <f>IFERROR(VLOOKUP($B72,MMWR_TRAD_AGG_STATE_PEN[],F$1,0),"ERROR")</f>
        <v>10</v>
      </c>
      <c r="G72" s="113">
        <f t="shared" si="8"/>
        <v>0.12658227848101267</v>
      </c>
      <c r="H72" s="111">
        <f>IFERROR(VLOOKUP($B72,MMWR_TRAD_AGG_STATE_PEN[],H$1,0),"ERROR")</f>
        <v>89</v>
      </c>
      <c r="I72" s="112">
        <f>IFERROR(VLOOKUP($B72,MMWR_TRAD_AGG_STATE_PEN[],I$1,0),"ERROR")</f>
        <v>23</v>
      </c>
      <c r="J72" s="114">
        <f t="shared" si="9"/>
        <v>0.25842696629213485</v>
      </c>
      <c r="K72" s="111">
        <f>IFERROR(VLOOKUP($B72,MMWR_TRAD_AGG_STATE_PEN[],K$1,0),"ERROR")</f>
        <v>2</v>
      </c>
      <c r="L72" s="112">
        <f>IFERROR(VLOOKUP($B72,MMWR_TRAD_AGG_STATE_PEN[],L$1,0),"ERROR")</f>
        <v>2</v>
      </c>
      <c r="M72" s="114">
        <f t="shared" si="10"/>
        <v>1</v>
      </c>
      <c r="N72" s="111">
        <f>IFERROR(VLOOKUP($B72,MMWR_TRAD_AGG_STATE_PEN[],N$1,0),"ERROR")</f>
        <v>9</v>
      </c>
      <c r="O72" s="112">
        <f>IFERROR(VLOOKUP($B72,MMWR_TRAD_AGG_STATE_PEN[],O$1,0),"ERROR")</f>
        <v>1</v>
      </c>
      <c r="P72" s="114">
        <f t="shared" si="11"/>
        <v>0.1111111111111111</v>
      </c>
      <c r="Q72" s="115">
        <f>IFERROR(VLOOKUP($B72,MMWR_TRAD_AGG_STATE_PEN[],Q$1,0),"ERROR")</f>
        <v>13</v>
      </c>
      <c r="R72" s="115">
        <f>IFERROR(VLOOKUP($B72,MMWR_TRAD_AGG_STATE_PEN[],R$1,0),"ERROR")</f>
        <v>11</v>
      </c>
      <c r="S72" s="115">
        <f>IFERROR(VLOOKUP($B72,MMWR_APP_STATE_PEN[],S$1,0),"ERROR")</f>
        <v>7</v>
      </c>
      <c r="T72" s="28"/>
    </row>
    <row r="73" spans="1:20" s="123" customFormat="1" x14ac:dyDescent="0.2">
      <c r="A73" s="28"/>
      <c r="B73" s="127" t="s">
        <v>413</v>
      </c>
      <c r="C73" s="109">
        <f>IFERROR(VLOOKUP($B73,MMWR_TRAD_AGG_STATE_PEN[],C$1,0),"ERROR")</f>
        <v>39</v>
      </c>
      <c r="D73" s="110">
        <f>IFERROR(VLOOKUP($B73,MMWR_TRAD_AGG_STATE_PEN[],D$1,0),"ERROR")</f>
        <v>79.102564102599999</v>
      </c>
      <c r="E73" s="111">
        <f>IFERROR(VLOOKUP($B73,MMWR_TRAD_AGG_STATE_PEN[],E$1,0),"ERROR")</f>
        <v>42</v>
      </c>
      <c r="F73" s="112">
        <f>IFERROR(VLOOKUP($B73,MMWR_TRAD_AGG_STATE_PEN[],F$1,0),"ERROR")</f>
        <v>7</v>
      </c>
      <c r="G73" s="113">
        <f t="shared" si="8"/>
        <v>0.16666666666666666</v>
      </c>
      <c r="H73" s="111">
        <f>IFERROR(VLOOKUP($B73,MMWR_TRAD_AGG_STATE_PEN[],H$1,0),"ERROR")</f>
        <v>54</v>
      </c>
      <c r="I73" s="112">
        <f>IFERROR(VLOOKUP($B73,MMWR_TRAD_AGG_STATE_PEN[],I$1,0),"ERROR")</f>
        <v>12</v>
      </c>
      <c r="J73" s="114">
        <f t="shared" si="9"/>
        <v>0.22222222222222221</v>
      </c>
      <c r="K73" s="111">
        <f>IFERROR(VLOOKUP($B73,MMWR_TRAD_AGG_STATE_PEN[],K$1,0),"ERROR")</f>
        <v>2</v>
      </c>
      <c r="L73" s="112">
        <f>IFERROR(VLOOKUP($B73,MMWR_TRAD_AGG_STATE_PEN[],L$1,0),"ERROR")</f>
        <v>2</v>
      </c>
      <c r="M73" s="114">
        <f t="shared" si="10"/>
        <v>1</v>
      </c>
      <c r="N73" s="111">
        <f>IFERROR(VLOOKUP($B73,MMWR_TRAD_AGG_STATE_PEN[],N$1,0),"ERROR")</f>
        <v>3</v>
      </c>
      <c r="O73" s="112">
        <f>IFERROR(VLOOKUP($B73,MMWR_TRAD_AGG_STATE_PEN[],O$1,0),"ERROR")</f>
        <v>1</v>
      </c>
      <c r="P73" s="114">
        <f t="shared" si="11"/>
        <v>0.33333333333333331</v>
      </c>
      <c r="Q73" s="115">
        <f>IFERROR(VLOOKUP($B73,MMWR_TRAD_AGG_STATE_PEN[],Q$1,0),"ERROR")</f>
        <v>8</v>
      </c>
      <c r="R73" s="115">
        <f>IFERROR(VLOOKUP($B73,MMWR_TRAD_AGG_STATE_PEN[],R$1,0),"ERROR")</f>
        <v>14</v>
      </c>
      <c r="S73" s="115">
        <f>IFERROR(VLOOKUP($B73,MMWR_APP_STATE_PEN[],S$1,0),"ERROR")</f>
        <v>7</v>
      </c>
      <c r="T73" s="28"/>
    </row>
    <row r="74" spans="1:20" s="123" customFormat="1" x14ac:dyDescent="0.2">
      <c r="A74" s="28"/>
      <c r="B74" s="127" t="s">
        <v>415</v>
      </c>
      <c r="C74" s="109">
        <f>IFERROR(VLOOKUP($B74,MMWR_TRAD_AGG_STATE_PEN[],C$1,0),"ERROR")</f>
        <v>115</v>
      </c>
      <c r="D74" s="110">
        <f>IFERROR(VLOOKUP($B74,MMWR_TRAD_AGG_STATE_PEN[],D$1,0),"ERROR")</f>
        <v>99.643478260899997</v>
      </c>
      <c r="E74" s="111">
        <f>IFERROR(VLOOKUP($B74,MMWR_TRAD_AGG_STATE_PEN[],E$1,0),"ERROR")</f>
        <v>135</v>
      </c>
      <c r="F74" s="112">
        <f>IFERROR(VLOOKUP($B74,MMWR_TRAD_AGG_STATE_PEN[],F$1,0),"ERROR")</f>
        <v>23</v>
      </c>
      <c r="G74" s="113">
        <f t="shared" si="8"/>
        <v>0.17037037037037037</v>
      </c>
      <c r="H74" s="111">
        <f>IFERROR(VLOOKUP($B74,MMWR_TRAD_AGG_STATE_PEN[],H$1,0),"ERROR")</f>
        <v>162</v>
      </c>
      <c r="I74" s="112">
        <f>IFERROR(VLOOKUP($B74,MMWR_TRAD_AGG_STATE_PEN[],I$1,0),"ERROR")</f>
        <v>46</v>
      </c>
      <c r="J74" s="114">
        <f t="shared" si="9"/>
        <v>0.2839506172839506</v>
      </c>
      <c r="K74" s="111">
        <f>IFERROR(VLOOKUP($B74,MMWR_TRAD_AGG_STATE_PEN[],K$1,0),"ERROR")</f>
        <v>1</v>
      </c>
      <c r="L74" s="112">
        <f>IFERROR(VLOOKUP($B74,MMWR_TRAD_AGG_STATE_PEN[],L$1,0),"ERROR")</f>
        <v>1</v>
      </c>
      <c r="M74" s="114">
        <f t="shared" si="10"/>
        <v>1</v>
      </c>
      <c r="N74" s="111">
        <f>IFERROR(VLOOKUP($B74,MMWR_TRAD_AGG_STATE_PEN[],N$1,0),"ERROR")</f>
        <v>10</v>
      </c>
      <c r="O74" s="112">
        <f>IFERROR(VLOOKUP($B74,MMWR_TRAD_AGG_STATE_PEN[],O$1,0),"ERROR")</f>
        <v>5</v>
      </c>
      <c r="P74" s="114">
        <f t="shared" si="11"/>
        <v>0.5</v>
      </c>
      <c r="Q74" s="115">
        <f>IFERROR(VLOOKUP($B74,MMWR_TRAD_AGG_STATE_PEN[],Q$1,0),"ERROR")</f>
        <v>24</v>
      </c>
      <c r="R74" s="115">
        <f>IFERROR(VLOOKUP($B74,MMWR_TRAD_AGG_STATE_PEN[],R$1,0),"ERROR")</f>
        <v>23</v>
      </c>
      <c r="S74" s="115">
        <f>IFERROR(VLOOKUP($B74,MMWR_APP_STATE_PEN[],S$1,0),"ERROR")</f>
        <v>22</v>
      </c>
      <c r="T74" s="28"/>
    </row>
    <row r="75" spans="1:20" s="123" customFormat="1" x14ac:dyDescent="0.2">
      <c r="A75" s="28"/>
      <c r="B75" s="127" t="s">
        <v>375</v>
      </c>
      <c r="C75" s="109">
        <f>IFERROR(VLOOKUP($B75,MMWR_TRAD_AGG_STATE_PEN[],C$1,0),"ERROR")</f>
        <v>321</v>
      </c>
      <c r="D75" s="110">
        <f>IFERROR(VLOOKUP($B75,MMWR_TRAD_AGG_STATE_PEN[],D$1,0),"ERROR")</f>
        <v>99.330218068500002</v>
      </c>
      <c r="E75" s="111">
        <f>IFERROR(VLOOKUP($B75,MMWR_TRAD_AGG_STATE_PEN[],E$1,0),"ERROR")</f>
        <v>539</v>
      </c>
      <c r="F75" s="112">
        <f>IFERROR(VLOOKUP($B75,MMWR_TRAD_AGG_STATE_PEN[],F$1,0),"ERROR")</f>
        <v>93</v>
      </c>
      <c r="G75" s="113">
        <f t="shared" si="8"/>
        <v>0.17254174397031541</v>
      </c>
      <c r="H75" s="111">
        <f>IFERROR(VLOOKUP($B75,MMWR_TRAD_AGG_STATE_PEN[],H$1,0),"ERROR")</f>
        <v>507</v>
      </c>
      <c r="I75" s="112">
        <f>IFERROR(VLOOKUP($B75,MMWR_TRAD_AGG_STATE_PEN[],I$1,0),"ERROR")</f>
        <v>153</v>
      </c>
      <c r="J75" s="114">
        <f t="shared" si="9"/>
        <v>0.30177514792899407</v>
      </c>
      <c r="K75" s="111">
        <f>IFERROR(VLOOKUP($B75,MMWR_TRAD_AGG_STATE_PEN[],K$1,0),"ERROR")</f>
        <v>6</v>
      </c>
      <c r="L75" s="112">
        <f>IFERROR(VLOOKUP($B75,MMWR_TRAD_AGG_STATE_PEN[],L$1,0),"ERROR")</f>
        <v>5</v>
      </c>
      <c r="M75" s="114">
        <f t="shared" si="10"/>
        <v>0.83333333333333337</v>
      </c>
      <c r="N75" s="111">
        <f>IFERROR(VLOOKUP($B75,MMWR_TRAD_AGG_STATE_PEN[],N$1,0),"ERROR")</f>
        <v>20</v>
      </c>
      <c r="O75" s="112">
        <f>IFERROR(VLOOKUP($B75,MMWR_TRAD_AGG_STATE_PEN[],O$1,0),"ERROR")</f>
        <v>7</v>
      </c>
      <c r="P75" s="114">
        <f t="shared" si="11"/>
        <v>0.35</v>
      </c>
      <c r="Q75" s="115">
        <f>IFERROR(VLOOKUP($B75,MMWR_TRAD_AGG_STATE_PEN[],Q$1,0),"ERROR")</f>
        <v>87</v>
      </c>
      <c r="R75" s="115">
        <f>IFERROR(VLOOKUP($B75,MMWR_TRAD_AGG_STATE_PEN[],R$1,0),"ERROR")</f>
        <v>144</v>
      </c>
      <c r="S75" s="115">
        <f>IFERROR(VLOOKUP($B75,MMWR_APP_STATE_PEN[],S$1,0),"ERROR")</f>
        <v>51</v>
      </c>
      <c r="T75" s="28"/>
    </row>
    <row r="76" spans="1:20" s="123" customFormat="1" x14ac:dyDescent="0.2">
      <c r="A76" s="28"/>
      <c r="B76" s="127" t="s">
        <v>370</v>
      </c>
      <c r="C76" s="109">
        <f>IFERROR(VLOOKUP($B76,MMWR_TRAD_AGG_STATE_PEN[],C$1,0),"ERROR")</f>
        <v>397</v>
      </c>
      <c r="D76" s="110">
        <f>IFERROR(VLOOKUP($B76,MMWR_TRAD_AGG_STATE_PEN[],D$1,0),"ERROR")</f>
        <v>102.48614609569999</v>
      </c>
      <c r="E76" s="111">
        <f>IFERROR(VLOOKUP($B76,MMWR_TRAD_AGG_STATE_PEN[],E$1,0),"ERROR")</f>
        <v>563</v>
      </c>
      <c r="F76" s="112">
        <f>IFERROR(VLOOKUP($B76,MMWR_TRAD_AGG_STATE_PEN[],F$1,0),"ERROR")</f>
        <v>97</v>
      </c>
      <c r="G76" s="113">
        <f t="shared" si="8"/>
        <v>0.17229129662522202</v>
      </c>
      <c r="H76" s="111">
        <f>IFERROR(VLOOKUP($B76,MMWR_TRAD_AGG_STATE_PEN[],H$1,0),"ERROR")</f>
        <v>530</v>
      </c>
      <c r="I76" s="112">
        <f>IFERROR(VLOOKUP($B76,MMWR_TRAD_AGG_STATE_PEN[],I$1,0),"ERROR")</f>
        <v>163</v>
      </c>
      <c r="J76" s="114">
        <f t="shared" si="9"/>
        <v>0.30754716981132074</v>
      </c>
      <c r="K76" s="111">
        <f>IFERROR(VLOOKUP($B76,MMWR_TRAD_AGG_STATE_PEN[],K$1,0),"ERROR")</f>
        <v>4</v>
      </c>
      <c r="L76" s="112">
        <f>IFERROR(VLOOKUP($B76,MMWR_TRAD_AGG_STATE_PEN[],L$1,0),"ERROR")</f>
        <v>4</v>
      </c>
      <c r="M76" s="114">
        <f t="shared" si="10"/>
        <v>1</v>
      </c>
      <c r="N76" s="111">
        <f>IFERROR(VLOOKUP($B76,MMWR_TRAD_AGG_STATE_PEN[],N$1,0),"ERROR")</f>
        <v>34</v>
      </c>
      <c r="O76" s="112">
        <f>IFERROR(VLOOKUP($B76,MMWR_TRAD_AGG_STATE_PEN[],O$1,0),"ERROR")</f>
        <v>6</v>
      </c>
      <c r="P76" s="114">
        <f t="shared" si="11"/>
        <v>0.17647058823529413</v>
      </c>
      <c r="Q76" s="115">
        <f>IFERROR(VLOOKUP($B76,MMWR_TRAD_AGG_STATE_PEN[],Q$1,0),"ERROR")</f>
        <v>59</v>
      </c>
      <c r="R76" s="115">
        <f>IFERROR(VLOOKUP($B76,MMWR_TRAD_AGG_STATE_PEN[],R$1,0),"ERROR")</f>
        <v>130</v>
      </c>
      <c r="S76" s="115">
        <f>IFERROR(VLOOKUP($B76,MMWR_APP_STATE_PEN[],S$1,0),"ERROR")</f>
        <v>79</v>
      </c>
      <c r="T76" s="28"/>
    </row>
    <row r="77" spans="1:20" s="123" customFormat="1" x14ac:dyDescent="0.2">
      <c r="A77" s="28"/>
      <c r="B77" s="127" t="s">
        <v>414</v>
      </c>
      <c r="C77" s="109">
        <f>IFERROR(VLOOKUP($B77,MMWR_TRAD_AGG_STATE_PEN[],C$1,0),"ERROR")</f>
        <v>114</v>
      </c>
      <c r="D77" s="110">
        <f>IFERROR(VLOOKUP($B77,MMWR_TRAD_AGG_STATE_PEN[],D$1,0),"ERROR")</f>
        <v>95.657894736800003</v>
      </c>
      <c r="E77" s="111">
        <f>IFERROR(VLOOKUP($B77,MMWR_TRAD_AGG_STATE_PEN[],E$1,0),"ERROR")</f>
        <v>159</v>
      </c>
      <c r="F77" s="112">
        <f>IFERROR(VLOOKUP($B77,MMWR_TRAD_AGG_STATE_PEN[],F$1,0),"ERROR")</f>
        <v>35</v>
      </c>
      <c r="G77" s="113">
        <f t="shared" si="8"/>
        <v>0.22012578616352202</v>
      </c>
      <c r="H77" s="111">
        <f>IFERROR(VLOOKUP($B77,MMWR_TRAD_AGG_STATE_PEN[],H$1,0),"ERROR")</f>
        <v>134</v>
      </c>
      <c r="I77" s="112">
        <f>IFERROR(VLOOKUP($B77,MMWR_TRAD_AGG_STATE_PEN[],I$1,0),"ERROR")</f>
        <v>34</v>
      </c>
      <c r="J77" s="114">
        <f t="shared" si="9"/>
        <v>0.2537313432835821</v>
      </c>
      <c r="K77" s="111">
        <f>IFERROR(VLOOKUP($B77,MMWR_TRAD_AGG_STATE_PEN[],K$1,0),"ERROR")</f>
        <v>0</v>
      </c>
      <c r="L77" s="112">
        <f>IFERROR(VLOOKUP($B77,MMWR_TRAD_AGG_STATE_PEN[],L$1,0),"ERROR")</f>
        <v>0</v>
      </c>
      <c r="M77" s="114" t="str">
        <f t="shared" si="10"/>
        <v>0%</v>
      </c>
      <c r="N77" s="111">
        <f>IFERROR(VLOOKUP($B77,MMWR_TRAD_AGG_STATE_PEN[],N$1,0),"ERROR")</f>
        <v>3</v>
      </c>
      <c r="O77" s="112">
        <f>IFERROR(VLOOKUP($B77,MMWR_TRAD_AGG_STATE_PEN[],O$1,0),"ERROR")</f>
        <v>1</v>
      </c>
      <c r="P77" s="114">
        <f t="shared" si="11"/>
        <v>0.33333333333333331</v>
      </c>
      <c r="Q77" s="115">
        <f>IFERROR(VLOOKUP($B77,MMWR_TRAD_AGG_STATE_PEN[],Q$1,0),"ERROR")</f>
        <v>14</v>
      </c>
      <c r="R77" s="115">
        <f>IFERROR(VLOOKUP($B77,MMWR_TRAD_AGG_STATE_PEN[],R$1,0),"ERROR")</f>
        <v>21</v>
      </c>
      <c r="S77" s="115">
        <f>IFERROR(VLOOKUP($B77,MMWR_APP_STATE_PEN[],S$1,0),"ERROR")</f>
        <v>6</v>
      </c>
      <c r="T77" s="28"/>
    </row>
    <row r="78" spans="1:20" s="123" customFormat="1" x14ac:dyDescent="0.2">
      <c r="A78" s="28"/>
      <c r="B78" s="127" t="s">
        <v>373</v>
      </c>
      <c r="C78" s="109">
        <f>IFERROR(VLOOKUP($B78,MMWR_TRAD_AGG_STATE_PEN[],C$1,0),"ERROR")</f>
        <v>484</v>
      </c>
      <c r="D78" s="110">
        <f>IFERROR(VLOOKUP($B78,MMWR_TRAD_AGG_STATE_PEN[],D$1,0),"ERROR")</f>
        <v>103.132231405</v>
      </c>
      <c r="E78" s="111">
        <f>IFERROR(VLOOKUP($B78,MMWR_TRAD_AGG_STATE_PEN[],E$1,0),"ERROR")</f>
        <v>674</v>
      </c>
      <c r="F78" s="112">
        <f>IFERROR(VLOOKUP($B78,MMWR_TRAD_AGG_STATE_PEN[],F$1,0),"ERROR")</f>
        <v>119</v>
      </c>
      <c r="G78" s="113">
        <f t="shared" si="8"/>
        <v>0.17655786350148367</v>
      </c>
      <c r="H78" s="111">
        <f>IFERROR(VLOOKUP($B78,MMWR_TRAD_AGG_STATE_PEN[],H$1,0),"ERROR")</f>
        <v>654</v>
      </c>
      <c r="I78" s="112">
        <f>IFERROR(VLOOKUP($B78,MMWR_TRAD_AGG_STATE_PEN[],I$1,0),"ERROR")</f>
        <v>203</v>
      </c>
      <c r="J78" s="114">
        <f t="shared" si="9"/>
        <v>0.31039755351681958</v>
      </c>
      <c r="K78" s="111">
        <f>IFERROR(VLOOKUP($B78,MMWR_TRAD_AGG_STATE_PEN[],K$1,0),"ERROR")</f>
        <v>1</v>
      </c>
      <c r="L78" s="112">
        <f>IFERROR(VLOOKUP($B78,MMWR_TRAD_AGG_STATE_PEN[],L$1,0),"ERROR")</f>
        <v>1</v>
      </c>
      <c r="M78" s="114">
        <f t="shared" si="10"/>
        <v>1</v>
      </c>
      <c r="N78" s="111">
        <f>IFERROR(VLOOKUP($B78,MMWR_TRAD_AGG_STATE_PEN[],N$1,0),"ERROR")</f>
        <v>22</v>
      </c>
      <c r="O78" s="112">
        <f>IFERROR(VLOOKUP($B78,MMWR_TRAD_AGG_STATE_PEN[],O$1,0),"ERROR")</f>
        <v>8</v>
      </c>
      <c r="P78" s="114">
        <f t="shared" si="11"/>
        <v>0.36363636363636365</v>
      </c>
      <c r="Q78" s="115">
        <f>IFERROR(VLOOKUP($B78,MMWR_TRAD_AGG_STATE_PEN[],Q$1,0),"ERROR")</f>
        <v>70</v>
      </c>
      <c r="R78" s="115">
        <f>IFERROR(VLOOKUP($B78,MMWR_TRAD_AGG_STATE_PEN[],R$1,0),"ERROR")</f>
        <v>146</v>
      </c>
      <c r="S78" s="115">
        <f>IFERROR(VLOOKUP($B78,MMWR_APP_STATE_PEN[],S$1,0),"ERROR")</f>
        <v>130</v>
      </c>
      <c r="T78" s="28"/>
    </row>
    <row r="79" spans="1:20" s="123" customFormat="1" x14ac:dyDescent="0.2">
      <c r="A79" s="28"/>
      <c r="B79" s="127" t="s">
        <v>60</v>
      </c>
      <c r="C79" s="109">
        <f>IFERROR(VLOOKUP($B79,MMWR_TRAD_AGG_STATE_PEN[],C$1,0),"ERROR")</f>
        <v>1065</v>
      </c>
      <c r="D79" s="110">
        <f>IFERROR(VLOOKUP($B79,MMWR_TRAD_AGG_STATE_PEN[],D$1,0),"ERROR")</f>
        <v>101.3643192488</v>
      </c>
      <c r="E79" s="111">
        <f>IFERROR(VLOOKUP($B79,MMWR_TRAD_AGG_STATE_PEN[],E$1,0),"ERROR")</f>
        <v>1953</v>
      </c>
      <c r="F79" s="112">
        <f>IFERROR(VLOOKUP($B79,MMWR_TRAD_AGG_STATE_PEN[],F$1,0),"ERROR")</f>
        <v>381</v>
      </c>
      <c r="G79" s="113">
        <f t="shared" si="8"/>
        <v>0.19508448540706605</v>
      </c>
      <c r="H79" s="111">
        <f>IFERROR(VLOOKUP($B79,MMWR_TRAD_AGG_STATE_PEN[],H$1,0),"ERROR")</f>
        <v>1533</v>
      </c>
      <c r="I79" s="112">
        <f>IFERROR(VLOOKUP($B79,MMWR_TRAD_AGG_STATE_PEN[],I$1,0),"ERROR")</f>
        <v>435</v>
      </c>
      <c r="J79" s="114">
        <f t="shared" si="9"/>
        <v>0.28375733855185908</v>
      </c>
      <c r="K79" s="111">
        <f>IFERROR(VLOOKUP($B79,MMWR_TRAD_AGG_STATE_PEN[],K$1,0),"ERROR")</f>
        <v>4</v>
      </c>
      <c r="L79" s="112">
        <f>IFERROR(VLOOKUP($B79,MMWR_TRAD_AGG_STATE_PEN[],L$1,0),"ERROR")</f>
        <v>4</v>
      </c>
      <c r="M79" s="114">
        <f t="shared" si="10"/>
        <v>1</v>
      </c>
      <c r="N79" s="111">
        <f>IFERROR(VLOOKUP($B79,MMWR_TRAD_AGG_STATE_PEN[],N$1,0),"ERROR")</f>
        <v>46</v>
      </c>
      <c r="O79" s="112">
        <f>IFERROR(VLOOKUP($B79,MMWR_TRAD_AGG_STATE_PEN[],O$1,0),"ERROR")</f>
        <v>21</v>
      </c>
      <c r="P79" s="114">
        <f t="shared" si="11"/>
        <v>0.45652173913043476</v>
      </c>
      <c r="Q79" s="115">
        <f>IFERROR(VLOOKUP($B79,MMWR_TRAD_AGG_STATE_PEN[],Q$1,0),"ERROR")</f>
        <v>199</v>
      </c>
      <c r="R79" s="115">
        <f>IFERROR(VLOOKUP($B79,MMWR_TRAD_AGG_STATE_PEN[],R$1,0),"ERROR")</f>
        <v>278</v>
      </c>
      <c r="S79" s="115">
        <f>IFERROR(VLOOKUP($B79,MMWR_APP_STATE_PEN[],S$1,0),"ERROR")</f>
        <v>149</v>
      </c>
      <c r="T79" s="28"/>
    </row>
    <row r="80" spans="1:20" s="123" customFormat="1" x14ac:dyDescent="0.2">
      <c r="A80" s="28"/>
      <c r="B80" s="127" t="s">
        <v>381</v>
      </c>
      <c r="C80" s="109">
        <f>IFERROR(VLOOKUP($B80,MMWR_TRAD_AGG_STATE_PEN[],C$1,0),"ERROR")</f>
        <v>1526</v>
      </c>
      <c r="D80" s="110">
        <f>IFERROR(VLOOKUP($B80,MMWR_TRAD_AGG_STATE_PEN[],D$1,0),"ERROR")</f>
        <v>111.15661861069999</v>
      </c>
      <c r="E80" s="111">
        <f>IFERROR(VLOOKUP($B80,MMWR_TRAD_AGG_STATE_PEN[],E$1,0),"ERROR")</f>
        <v>1406</v>
      </c>
      <c r="F80" s="112">
        <f>IFERROR(VLOOKUP($B80,MMWR_TRAD_AGG_STATE_PEN[],F$1,0),"ERROR")</f>
        <v>246</v>
      </c>
      <c r="G80" s="113">
        <f t="shared" si="8"/>
        <v>0.17496443812233287</v>
      </c>
      <c r="H80" s="111">
        <f>IFERROR(VLOOKUP($B80,MMWR_TRAD_AGG_STATE_PEN[],H$1,0),"ERROR")</f>
        <v>1867</v>
      </c>
      <c r="I80" s="112">
        <f>IFERROR(VLOOKUP($B80,MMWR_TRAD_AGG_STATE_PEN[],I$1,0),"ERROR")</f>
        <v>702</v>
      </c>
      <c r="J80" s="114">
        <f t="shared" si="9"/>
        <v>0.37600428494911625</v>
      </c>
      <c r="K80" s="111">
        <f>IFERROR(VLOOKUP($B80,MMWR_TRAD_AGG_STATE_PEN[],K$1,0),"ERROR")</f>
        <v>15</v>
      </c>
      <c r="L80" s="112">
        <f>IFERROR(VLOOKUP($B80,MMWR_TRAD_AGG_STATE_PEN[],L$1,0),"ERROR")</f>
        <v>14</v>
      </c>
      <c r="M80" s="114">
        <f t="shared" si="10"/>
        <v>0.93333333333333335</v>
      </c>
      <c r="N80" s="111">
        <f>IFERROR(VLOOKUP($B80,MMWR_TRAD_AGG_STATE_PEN[],N$1,0),"ERROR")</f>
        <v>76</v>
      </c>
      <c r="O80" s="112">
        <f>IFERROR(VLOOKUP($B80,MMWR_TRAD_AGG_STATE_PEN[],O$1,0),"ERROR")</f>
        <v>32</v>
      </c>
      <c r="P80" s="114">
        <f t="shared" si="11"/>
        <v>0.42105263157894735</v>
      </c>
      <c r="Q80" s="115">
        <f>IFERROR(VLOOKUP($B80,MMWR_TRAD_AGG_STATE_PEN[],Q$1,0),"ERROR")</f>
        <v>245</v>
      </c>
      <c r="R80" s="115">
        <f>IFERROR(VLOOKUP($B80,MMWR_TRAD_AGG_STATE_PEN[],R$1,0),"ERROR")</f>
        <v>349</v>
      </c>
      <c r="S80" s="115">
        <f>IFERROR(VLOOKUP($B80,MMWR_APP_STATE_PEN[],S$1,0),"ERROR")</f>
        <v>148</v>
      </c>
      <c r="T80" s="28"/>
    </row>
    <row r="81" spans="1:20" s="123" customFormat="1" x14ac:dyDescent="0.2">
      <c r="A81" s="28"/>
      <c r="B81" s="127" t="s">
        <v>374</v>
      </c>
      <c r="C81" s="109">
        <f>IFERROR(VLOOKUP($B81,MMWR_TRAD_AGG_STATE_PEN[],C$1,0),"ERROR")</f>
        <v>1546</v>
      </c>
      <c r="D81" s="110">
        <f>IFERROR(VLOOKUP($B81,MMWR_TRAD_AGG_STATE_PEN[],D$1,0),"ERROR")</f>
        <v>101.18628719279999</v>
      </c>
      <c r="E81" s="111">
        <f>IFERROR(VLOOKUP($B81,MMWR_TRAD_AGG_STATE_PEN[],E$1,0),"ERROR")</f>
        <v>2437</v>
      </c>
      <c r="F81" s="112">
        <f>IFERROR(VLOOKUP($B81,MMWR_TRAD_AGG_STATE_PEN[],F$1,0),"ERROR")</f>
        <v>425</v>
      </c>
      <c r="G81" s="113">
        <f t="shared" si="8"/>
        <v>0.17439474764054164</v>
      </c>
      <c r="H81" s="111">
        <f>IFERROR(VLOOKUP($B81,MMWR_TRAD_AGG_STATE_PEN[],H$1,0),"ERROR")</f>
        <v>2176</v>
      </c>
      <c r="I81" s="112">
        <f>IFERROR(VLOOKUP($B81,MMWR_TRAD_AGG_STATE_PEN[],I$1,0),"ERROR")</f>
        <v>646</v>
      </c>
      <c r="J81" s="114">
        <f t="shared" si="9"/>
        <v>0.296875</v>
      </c>
      <c r="K81" s="111">
        <f>IFERROR(VLOOKUP($B81,MMWR_TRAD_AGG_STATE_PEN[],K$1,0),"ERROR")</f>
        <v>2</v>
      </c>
      <c r="L81" s="112">
        <f>IFERROR(VLOOKUP($B81,MMWR_TRAD_AGG_STATE_PEN[],L$1,0),"ERROR")</f>
        <v>1</v>
      </c>
      <c r="M81" s="114">
        <f t="shared" si="10"/>
        <v>0.5</v>
      </c>
      <c r="N81" s="111">
        <f>IFERROR(VLOOKUP($B81,MMWR_TRAD_AGG_STATE_PEN[],N$1,0),"ERROR")</f>
        <v>122</v>
      </c>
      <c r="O81" s="112">
        <f>IFERROR(VLOOKUP($B81,MMWR_TRAD_AGG_STATE_PEN[],O$1,0),"ERROR")</f>
        <v>27</v>
      </c>
      <c r="P81" s="114">
        <f t="shared" si="11"/>
        <v>0.22131147540983606</v>
      </c>
      <c r="Q81" s="115">
        <f>IFERROR(VLOOKUP($B81,MMWR_TRAD_AGG_STATE_PEN[],Q$1,0),"ERROR")</f>
        <v>186</v>
      </c>
      <c r="R81" s="115">
        <f>IFERROR(VLOOKUP($B81,MMWR_TRAD_AGG_STATE_PEN[],R$1,0),"ERROR")</f>
        <v>329</v>
      </c>
      <c r="S81" s="115">
        <f>IFERROR(VLOOKUP($B81,MMWR_APP_STATE_PEN[],S$1,0),"ERROR")</f>
        <v>167</v>
      </c>
      <c r="T81" s="28"/>
    </row>
    <row r="82" spans="1:20" s="123" customFormat="1" x14ac:dyDescent="0.2">
      <c r="A82" s="28"/>
      <c r="B82" s="127" t="s">
        <v>371</v>
      </c>
      <c r="C82" s="109">
        <f>IFERROR(VLOOKUP($B82,MMWR_TRAD_AGG_STATE_PEN[],C$1,0),"ERROR")</f>
        <v>96</v>
      </c>
      <c r="D82" s="110">
        <f>IFERROR(VLOOKUP($B82,MMWR_TRAD_AGG_STATE_PEN[],D$1,0),"ERROR")</f>
        <v>90.5</v>
      </c>
      <c r="E82" s="111">
        <f>IFERROR(VLOOKUP($B82,MMWR_TRAD_AGG_STATE_PEN[],E$1,0),"ERROR")</f>
        <v>138</v>
      </c>
      <c r="F82" s="112">
        <f>IFERROR(VLOOKUP($B82,MMWR_TRAD_AGG_STATE_PEN[],F$1,0),"ERROR")</f>
        <v>24</v>
      </c>
      <c r="G82" s="113">
        <f t="shared" si="8"/>
        <v>0.17391304347826086</v>
      </c>
      <c r="H82" s="111">
        <f>IFERROR(VLOOKUP($B82,MMWR_TRAD_AGG_STATE_PEN[],H$1,0),"ERROR")</f>
        <v>121</v>
      </c>
      <c r="I82" s="112">
        <f>IFERROR(VLOOKUP($B82,MMWR_TRAD_AGG_STATE_PEN[],I$1,0),"ERROR")</f>
        <v>37</v>
      </c>
      <c r="J82" s="114">
        <f t="shared" si="9"/>
        <v>0.30578512396694213</v>
      </c>
      <c r="K82" s="111">
        <f>IFERROR(VLOOKUP($B82,MMWR_TRAD_AGG_STATE_PEN[],K$1,0),"ERROR")</f>
        <v>0</v>
      </c>
      <c r="L82" s="112">
        <f>IFERROR(VLOOKUP($B82,MMWR_TRAD_AGG_STATE_PEN[],L$1,0),"ERROR")</f>
        <v>0</v>
      </c>
      <c r="M82" s="114" t="str">
        <f t="shared" si="10"/>
        <v>0%</v>
      </c>
      <c r="N82" s="111">
        <f>IFERROR(VLOOKUP($B82,MMWR_TRAD_AGG_STATE_PEN[],N$1,0),"ERROR")</f>
        <v>10</v>
      </c>
      <c r="O82" s="112">
        <f>IFERROR(VLOOKUP($B82,MMWR_TRAD_AGG_STATE_PEN[],O$1,0),"ERROR")</f>
        <v>3</v>
      </c>
      <c r="P82" s="114">
        <f t="shared" si="11"/>
        <v>0.3</v>
      </c>
      <c r="Q82" s="115">
        <f>IFERROR(VLOOKUP($B82,MMWR_TRAD_AGG_STATE_PEN[],Q$1,0),"ERROR")</f>
        <v>14</v>
      </c>
      <c r="R82" s="115">
        <f>IFERROR(VLOOKUP($B82,MMWR_TRAD_AGG_STATE_PEN[],R$1,0),"ERROR")</f>
        <v>15</v>
      </c>
      <c r="S82" s="115">
        <f>IFERROR(VLOOKUP($B82,MMWR_APP_STATE_PEN[],S$1,0),"ERROR")</f>
        <v>19</v>
      </c>
      <c r="T82" s="28"/>
    </row>
    <row r="83" spans="1:20" s="123" customFormat="1" x14ac:dyDescent="0.2">
      <c r="A83" s="28"/>
      <c r="B83" s="127" t="s">
        <v>416</v>
      </c>
      <c r="C83" s="109">
        <f>IFERROR(VLOOKUP($B83,MMWR_TRAD_AGG_STATE_PEN[],C$1,0),"ERROR")</f>
        <v>43</v>
      </c>
      <c r="D83" s="110">
        <f>IFERROR(VLOOKUP($B83,MMWR_TRAD_AGG_STATE_PEN[],D$1,0),"ERROR")</f>
        <v>110.1627906977</v>
      </c>
      <c r="E83" s="111">
        <f>IFERROR(VLOOKUP($B83,MMWR_TRAD_AGG_STATE_PEN[],E$1,0),"ERROR")</f>
        <v>47</v>
      </c>
      <c r="F83" s="112">
        <f>IFERROR(VLOOKUP($B83,MMWR_TRAD_AGG_STATE_PEN[],F$1,0),"ERROR")</f>
        <v>11</v>
      </c>
      <c r="G83" s="113">
        <f t="shared" si="8"/>
        <v>0.23404255319148937</v>
      </c>
      <c r="H83" s="111">
        <f>IFERROR(VLOOKUP($B83,MMWR_TRAD_AGG_STATE_PEN[],H$1,0),"ERROR")</f>
        <v>55</v>
      </c>
      <c r="I83" s="112">
        <f>IFERROR(VLOOKUP($B83,MMWR_TRAD_AGG_STATE_PEN[],I$1,0),"ERROR")</f>
        <v>18</v>
      </c>
      <c r="J83" s="114">
        <f t="shared" si="9"/>
        <v>0.32727272727272727</v>
      </c>
      <c r="K83" s="111">
        <f>IFERROR(VLOOKUP($B83,MMWR_TRAD_AGG_STATE_PEN[],K$1,0),"ERROR")</f>
        <v>0</v>
      </c>
      <c r="L83" s="112">
        <f>IFERROR(VLOOKUP($B83,MMWR_TRAD_AGG_STATE_PEN[],L$1,0),"ERROR")</f>
        <v>0</v>
      </c>
      <c r="M83" s="114" t="str">
        <f t="shared" si="10"/>
        <v>0%</v>
      </c>
      <c r="N83" s="111">
        <f>IFERROR(VLOOKUP($B83,MMWR_TRAD_AGG_STATE_PEN[],N$1,0),"ERROR")</f>
        <v>2</v>
      </c>
      <c r="O83" s="112">
        <f>IFERROR(VLOOKUP($B83,MMWR_TRAD_AGG_STATE_PEN[],O$1,0),"ERROR")</f>
        <v>1</v>
      </c>
      <c r="P83" s="114">
        <f t="shared" si="11"/>
        <v>0.5</v>
      </c>
      <c r="Q83" s="115">
        <f>IFERROR(VLOOKUP($B83,MMWR_TRAD_AGG_STATE_PEN[],Q$1,0),"ERROR")</f>
        <v>9</v>
      </c>
      <c r="R83" s="115">
        <f>IFERROR(VLOOKUP($B83,MMWR_TRAD_AGG_STATE_PEN[],R$1,0),"ERROR")</f>
        <v>8</v>
      </c>
      <c r="S83" s="115">
        <f>IFERROR(VLOOKUP($B83,MMWR_APP_STATE_PEN[],S$1,0),"ERROR")</f>
        <v>9</v>
      </c>
      <c r="T83" s="28"/>
    </row>
    <row r="84" spans="1:20" s="123" customFormat="1" x14ac:dyDescent="0.2">
      <c r="A84" s="28"/>
      <c r="B84" s="127" t="s">
        <v>377</v>
      </c>
      <c r="C84" s="109">
        <f>IFERROR(VLOOKUP($B84,MMWR_TRAD_AGG_STATE_PEN[],C$1,0),"ERROR")</f>
        <v>785</v>
      </c>
      <c r="D84" s="110">
        <f>IFERROR(VLOOKUP($B84,MMWR_TRAD_AGG_STATE_PEN[],D$1,0),"ERROR")</f>
        <v>104.0955414013</v>
      </c>
      <c r="E84" s="111">
        <f>IFERROR(VLOOKUP($B84,MMWR_TRAD_AGG_STATE_PEN[],E$1,0),"ERROR")</f>
        <v>874</v>
      </c>
      <c r="F84" s="112">
        <f>IFERROR(VLOOKUP($B84,MMWR_TRAD_AGG_STATE_PEN[],F$1,0),"ERROR")</f>
        <v>136</v>
      </c>
      <c r="G84" s="113">
        <f t="shared" si="8"/>
        <v>0.15560640732265446</v>
      </c>
      <c r="H84" s="111">
        <f>IFERROR(VLOOKUP($B84,MMWR_TRAD_AGG_STATE_PEN[],H$1,0),"ERROR")</f>
        <v>1062</v>
      </c>
      <c r="I84" s="112">
        <f>IFERROR(VLOOKUP($B84,MMWR_TRAD_AGG_STATE_PEN[],I$1,0),"ERROR")</f>
        <v>310</v>
      </c>
      <c r="J84" s="114">
        <f t="shared" si="9"/>
        <v>0.29190207156308851</v>
      </c>
      <c r="K84" s="111">
        <f>IFERROR(VLOOKUP($B84,MMWR_TRAD_AGG_STATE_PEN[],K$1,0),"ERROR")</f>
        <v>134</v>
      </c>
      <c r="L84" s="112">
        <f>IFERROR(VLOOKUP($B84,MMWR_TRAD_AGG_STATE_PEN[],L$1,0),"ERROR")</f>
        <v>131</v>
      </c>
      <c r="M84" s="114">
        <f t="shared" si="10"/>
        <v>0.97761194029850751</v>
      </c>
      <c r="N84" s="111">
        <f>IFERROR(VLOOKUP($B84,MMWR_TRAD_AGG_STATE_PEN[],N$1,0),"ERROR")</f>
        <v>39</v>
      </c>
      <c r="O84" s="112">
        <f>IFERROR(VLOOKUP($B84,MMWR_TRAD_AGG_STATE_PEN[],O$1,0),"ERROR")</f>
        <v>20</v>
      </c>
      <c r="P84" s="114">
        <f t="shared" si="11"/>
        <v>0.51282051282051277</v>
      </c>
      <c r="Q84" s="115">
        <f>IFERROR(VLOOKUP($B84,MMWR_TRAD_AGG_STATE_PEN[],Q$1,0),"ERROR")</f>
        <v>208</v>
      </c>
      <c r="R84" s="115">
        <f>IFERROR(VLOOKUP($B84,MMWR_TRAD_AGG_STATE_PEN[],R$1,0),"ERROR")</f>
        <v>257</v>
      </c>
      <c r="S84" s="115">
        <f>IFERROR(VLOOKUP($B84,MMWR_APP_STATE_PEN[],S$1,0),"ERROR")</f>
        <v>100</v>
      </c>
      <c r="T84" s="28"/>
    </row>
    <row r="85" spans="1:20" s="123" customFormat="1" x14ac:dyDescent="0.2">
      <c r="A85" s="28"/>
      <c r="B85" s="127" t="s">
        <v>378</v>
      </c>
      <c r="C85" s="109">
        <f>IFERROR(VLOOKUP($B85,MMWR_TRAD_AGG_STATE_PEN[],C$1,0),"ERROR")</f>
        <v>288</v>
      </c>
      <c r="D85" s="110">
        <f>IFERROR(VLOOKUP($B85,MMWR_TRAD_AGG_STATE_PEN[],D$1,0),"ERROR")</f>
        <v>109.1701388889</v>
      </c>
      <c r="E85" s="111">
        <f>IFERROR(VLOOKUP($B85,MMWR_TRAD_AGG_STATE_PEN[],E$1,0),"ERROR")</f>
        <v>231</v>
      </c>
      <c r="F85" s="112">
        <f>IFERROR(VLOOKUP($B85,MMWR_TRAD_AGG_STATE_PEN[],F$1,0),"ERROR")</f>
        <v>39</v>
      </c>
      <c r="G85" s="113">
        <f t="shared" si="8"/>
        <v>0.16883116883116883</v>
      </c>
      <c r="H85" s="111">
        <f>IFERROR(VLOOKUP($B85,MMWR_TRAD_AGG_STATE_PEN[],H$1,0),"ERROR")</f>
        <v>371</v>
      </c>
      <c r="I85" s="112">
        <f>IFERROR(VLOOKUP($B85,MMWR_TRAD_AGG_STATE_PEN[],I$1,0),"ERROR")</f>
        <v>127</v>
      </c>
      <c r="J85" s="114">
        <f t="shared" si="9"/>
        <v>0.3423180592991914</v>
      </c>
      <c r="K85" s="111">
        <f>IFERROR(VLOOKUP($B85,MMWR_TRAD_AGG_STATE_PEN[],K$1,0),"ERROR")</f>
        <v>0</v>
      </c>
      <c r="L85" s="112">
        <f>IFERROR(VLOOKUP($B85,MMWR_TRAD_AGG_STATE_PEN[],L$1,0),"ERROR")</f>
        <v>0</v>
      </c>
      <c r="M85" s="114" t="str">
        <f t="shared" si="10"/>
        <v>0%</v>
      </c>
      <c r="N85" s="111">
        <f>IFERROR(VLOOKUP($B85,MMWR_TRAD_AGG_STATE_PEN[],N$1,0),"ERROR")</f>
        <v>16</v>
      </c>
      <c r="O85" s="112">
        <f>IFERROR(VLOOKUP($B85,MMWR_TRAD_AGG_STATE_PEN[],O$1,0),"ERROR")</f>
        <v>5</v>
      </c>
      <c r="P85" s="114">
        <f t="shared" si="11"/>
        <v>0.3125</v>
      </c>
      <c r="Q85" s="115">
        <f>IFERROR(VLOOKUP($B85,MMWR_TRAD_AGG_STATE_PEN[],Q$1,0),"ERROR")</f>
        <v>60</v>
      </c>
      <c r="R85" s="115">
        <f>IFERROR(VLOOKUP($B85,MMWR_TRAD_AGG_STATE_PEN[],R$1,0),"ERROR")</f>
        <v>71</v>
      </c>
      <c r="S85" s="115">
        <f>IFERROR(VLOOKUP($B85,MMWR_APP_STATE_PEN[],S$1,0),"ERROR")</f>
        <v>39</v>
      </c>
      <c r="T85" s="28"/>
    </row>
    <row r="86" spans="1:20" s="123" customFormat="1" x14ac:dyDescent="0.2">
      <c r="A86" s="28"/>
      <c r="B86" s="126" t="s">
        <v>389</v>
      </c>
      <c r="C86" s="102">
        <f>IFERROR(VLOOKUP($B86,MMWR_TRAD_AGG_ST_DISTRICT_PEN[],C$1,0),"ERROR")</f>
        <v>3238</v>
      </c>
      <c r="D86" s="103">
        <f>IFERROR(VLOOKUP($B86,MMWR_TRAD_AGG_ST_DISTRICT_PEN[],D$1,0),"ERROR")</f>
        <v>63.966337245200002</v>
      </c>
      <c r="E86" s="102">
        <f>IFERROR(VLOOKUP($B86,MMWR_TRAD_AGG_ST_DISTRICT_PEN[],E$1,0),"ERROR")</f>
        <v>5593</v>
      </c>
      <c r="F86" s="102">
        <f>IFERROR(VLOOKUP($B86,MMWR_TRAD_AGG_ST_DISTRICT_PEN[],F$1,0),"ERROR")</f>
        <v>587</v>
      </c>
      <c r="G86" s="104">
        <f t="shared" si="8"/>
        <v>0.10495261934561058</v>
      </c>
      <c r="H86" s="102">
        <f>IFERROR(VLOOKUP($B86,MMWR_TRAD_AGG_ST_DISTRICT_PEN[],H$1,0),"ERROR")</f>
        <v>5074</v>
      </c>
      <c r="I86" s="102">
        <f>IFERROR(VLOOKUP($B86,MMWR_TRAD_AGG_ST_DISTRICT_PEN[],I$1,0),"ERROR")</f>
        <v>458</v>
      </c>
      <c r="J86" s="104">
        <f t="shared" si="9"/>
        <v>9.0264091446590464E-2</v>
      </c>
      <c r="K86" s="102">
        <f>IFERROR(VLOOKUP($B86,MMWR_TRAD_AGG_ST_DISTRICT_PEN[],K$1,0),"ERROR")</f>
        <v>11</v>
      </c>
      <c r="L86" s="102">
        <f>IFERROR(VLOOKUP($B86,MMWR_TRAD_AGG_ST_DISTRICT_PEN[],L$1,0),"ERROR")</f>
        <v>10</v>
      </c>
      <c r="M86" s="104">
        <f t="shared" si="10"/>
        <v>0.90909090909090906</v>
      </c>
      <c r="N86" s="102">
        <f>IFERROR(VLOOKUP($B86,MMWR_TRAD_AGG_ST_DISTRICT_PEN[],N$1,0),"ERROR")</f>
        <v>381</v>
      </c>
      <c r="O86" s="102">
        <f>IFERROR(VLOOKUP($B86,MMWR_TRAD_AGG_ST_DISTRICT_PEN[],O$1,0),"ERROR")</f>
        <v>101</v>
      </c>
      <c r="P86" s="104">
        <f t="shared" si="11"/>
        <v>0.26509186351706038</v>
      </c>
      <c r="Q86" s="102">
        <f>IFERROR(VLOOKUP($B86,MMWR_TRAD_AGG_ST_DISTRICT_PEN[],Q$1,0),"ERROR")</f>
        <v>2422</v>
      </c>
      <c r="R86" s="106">
        <f>IFERROR(VLOOKUP($B86,MMWR_TRAD_AGG_ST_DISTRICT_PEN[],R$1,0),"ERROR")</f>
        <v>761</v>
      </c>
      <c r="S86" s="106">
        <f>IFERROR(VLOOKUP($B86,MMWR_APP_STATE_PEN[],S$1,0),"ERROR")</f>
        <v>1378</v>
      </c>
      <c r="T86" s="28"/>
    </row>
    <row r="87" spans="1:20" s="123" customFormat="1" x14ac:dyDescent="0.2">
      <c r="A87" s="28"/>
      <c r="B87" s="127" t="s">
        <v>393</v>
      </c>
      <c r="C87" s="109">
        <f>IFERROR(VLOOKUP($B87,MMWR_TRAD_AGG_STATE_PEN[],C$1,0),"ERROR")</f>
        <v>468</v>
      </c>
      <c r="D87" s="110">
        <f>IFERROR(VLOOKUP($B87,MMWR_TRAD_AGG_STATE_PEN[],D$1,0),"ERROR")</f>
        <v>73.585470085500006</v>
      </c>
      <c r="E87" s="111">
        <f>IFERROR(VLOOKUP($B87,MMWR_TRAD_AGG_STATE_PEN[],E$1,0),"ERROR")</f>
        <v>800</v>
      </c>
      <c r="F87" s="112">
        <f>IFERROR(VLOOKUP($B87,MMWR_TRAD_AGG_STATE_PEN[],F$1,0),"ERROR")</f>
        <v>91</v>
      </c>
      <c r="G87" s="113">
        <f t="shared" si="8"/>
        <v>0.11375</v>
      </c>
      <c r="H87" s="111">
        <f>IFERROR(VLOOKUP($B87,MMWR_TRAD_AGG_STATE_PEN[],H$1,0),"ERROR")</f>
        <v>663</v>
      </c>
      <c r="I87" s="112">
        <f>IFERROR(VLOOKUP($B87,MMWR_TRAD_AGG_STATE_PEN[],I$1,0),"ERROR")</f>
        <v>55</v>
      </c>
      <c r="J87" s="114">
        <f t="shared" si="9"/>
        <v>8.2956259426847659E-2</v>
      </c>
      <c r="K87" s="111">
        <f>IFERROR(VLOOKUP($B87,MMWR_TRAD_AGG_STATE_PEN[],K$1,0),"ERROR")</f>
        <v>0</v>
      </c>
      <c r="L87" s="112">
        <f>IFERROR(VLOOKUP($B87,MMWR_TRAD_AGG_STATE_PEN[],L$1,0),"ERROR")</f>
        <v>0</v>
      </c>
      <c r="M87" s="114" t="str">
        <f t="shared" si="10"/>
        <v>0%</v>
      </c>
      <c r="N87" s="111">
        <f>IFERROR(VLOOKUP($B87,MMWR_TRAD_AGG_STATE_PEN[],N$1,0),"ERROR")</f>
        <v>57</v>
      </c>
      <c r="O87" s="112">
        <f>IFERROR(VLOOKUP($B87,MMWR_TRAD_AGG_STATE_PEN[],O$1,0),"ERROR")</f>
        <v>17</v>
      </c>
      <c r="P87" s="114">
        <f t="shared" si="11"/>
        <v>0.2982456140350877</v>
      </c>
      <c r="Q87" s="115">
        <f>IFERROR(VLOOKUP($B87,MMWR_TRAD_AGG_STATE_PEN[],Q$1,0),"ERROR")</f>
        <v>87</v>
      </c>
      <c r="R87" s="115">
        <f>IFERROR(VLOOKUP($B87,MMWR_TRAD_AGG_STATE_PEN[],R$1,0),"ERROR")</f>
        <v>142</v>
      </c>
      <c r="S87" s="115">
        <f>IFERROR(VLOOKUP($B87,MMWR_APP_STATE_PEN[],S$1,0),"ERROR")</f>
        <v>311</v>
      </c>
      <c r="T87" s="28"/>
    </row>
    <row r="88" spans="1:20" s="123" customFormat="1" x14ac:dyDescent="0.2">
      <c r="A88" s="28"/>
      <c r="B88" s="127" t="s">
        <v>391</v>
      </c>
      <c r="C88" s="109">
        <f>IFERROR(VLOOKUP($B88,MMWR_TRAD_AGG_STATE_PEN[],C$1,0),"ERROR")</f>
        <v>261</v>
      </c>
      <c r="D88" s="110">
        <f>IFERROR(VLOOKUP($B88,MMWR_TRAD_AGG_STATE_PEN[],D$1,0),"ERROR")</f>
        <v>64.107279693500004</v>
      </c>
      <c r="E88" s="111">
        <f>IFERROR(VLOOKUP($B88,MMWR_TRAD_AGG_STATE_PEN[],E$1,0),"ERROR")</f>
        <v>596</v>
      </c>
      <c r="F88" s="112">
        <f>IFERROR(VLOOKUP($B88,MMWR_TRAD_AGG_STATE_PEN[],F$1,0),"ERROR")</f>
        <v>73</v>
      </c>
      <c r="G88" s="113">
        <f t="shared" si="8"/>
        <v>0.12248322147651007</v>
      </c>
      <c r="H88" s="111">
        <f>IFERROR(VLOOKUP($B88,MMWR_TRAD_AGG_STATE_PEN[],H$1,0),"ERROR")</f>
        <v>465</v>
      </c>
      <c r="I88" s="112">
        <f>IFERROR(VLOOKUP($B88,MMWR_TRAD_AGG_STATE_PEN[],I$1,0),"ERROR")</f>
        <v>43</v>
      </c>
      <c r="J88" s="114">
        <f t="shared" si="9"/>
        <v>9.2473118279569888E-2</v>
      </c>
      <c r="K88" s="111">
        <f>IFERROR(VLOOKUP($B88,MMWR_TRAD_AGG_STATE_PEN[],K$1,0),"ERROR")</f>
        <v>2</v>
      </c>
      <c r="L88" s="112">
        <f>IFERROR(VLOOKUP($B88,MMWR_TRAD_AGG_STATE_PEN[],L$1,0),"ERROR")</f>
        <v>2</v>
      </c>
      <c r="M88" s="114">
        <f t="shared" si="10"/>
        <v>1</v>
      </c>
      <c r="N88" s="111">
        <f>IFERROR(VLOOKUP($B88,MMWR_TRAD_AGG_STATE_PEN[],N$1,0),"ERROR")</f>
        <v>43</v>
      </c>
      <c r="O88" s="112">
        <f>IFERROR(VLOOKUP($B88,MMWR_TRAD_AGG_STATE_PEN[],O$1,0),"ERROR")</f>
        <v>14</v>
      </c>
      <c r="P88" s="114">
        <f t="shared" si="11"/>
        <v>0.32558139534883723</v>
      </c>
      <c r="Q88" s="115">
        <f>IFERROR(VLOOKUP($B88,MMWR_TRAD_AGG_STATE_PEN[],Q$1,0),"ERROR")</f>
        <v>63</v>
      </c>
      <c r="R88" s="115">
        <f>IFERROR(VLOOKUP($B88,MMWR_TRAD_AGG_STATE_PEN[],R$1,0),"ERROR")</f>
        <v>82</v>
      </c>
      <c r="S88" s="115">
        <f>IFERROR(VLOOKUP($B88,MMWR_APP_STATE_PEN[],S$1,0),"ERROR")</f>
        <v>139</v>
      </c>
      <c r="T88" s="28"/>
    </row>
    <row r="89" spans="1:20" s="123" customFormat="1" x14ac:dyDescent="0.2">
      <c r="A89" s="28"/>
      <c r="B89" s="127" t="s">
        <v>398</v>
      </c>
      <c r="C89" s="109">
        <f>IFERROR(VLOOKUP($B89,MMWR_TRAD_AGG_STATE_PEN[],C$1,0),"ERROR")</f>
        <v>191</v>
      </c>
      <c r="D89" s="110">
        <f>IFERROR(VLOOKUP($B89,MMWR_TRAD_AGG_STATE_PEN[],D$1,0),"ERROR")</f>
        <v>59.670157068100004</v>
      </c>
      <c r="E89" s="111">
        <f>IFERROR(VLOOKUP($B89,MMWR_TRAD_AGG_STATE_PEN[],E$1,0),"ERROR")</f>
        <v>269</v>
      </c>
      <c r="F89" s="112">
        <f>IFERROR(VLOOKUP($B89,MMWR_TRAD_AGG_STATE_PEN[],F$1,0),"ERROR")</f>
        <v>9</v>
      </c>
      <c r="G89" s="113">
        <f t="shared" si="8"/>
        <v>3.3457249070631967E-2</v>
      </c>
      <c r="H89" s="111">
        <f>IFERROR(VLOOKUP($B89,MMWR_TRAD_AGG_STATE_PEN[],H$1,0),"ERROR")</f>
        <v>300</v>
      </c>
      <c r="I89" s="112">
        <f>IFERROR(VLOOKUP($B89,MMWR_TRAD_AGG_STATE_PEN[],I$1,0),"ERROR")</f>
        <v>22</v>
      </c>
      <c r="J89" s="114">
        <f t="shared" si="9"/>
        <v>7.3333333333333334E-2</v>
      </c>
      <c r="K89" s="111">
        <f>IFERROR(VLOOKUP($B89,MMWR_TRAD_AGG_STATE_PEN[],K$1,0),"ERROR")</f>
        <v>0</v>
      </c>
      <c r="L89" s="112">
        <f>IFERROR(VLOOKUP($B89,MMWR_TRAD_AGG_STATE_PEN[],L$1,0),"ERROR")</f>
        <v>0</v>
      </c>
      <c r="M89" s="114" t="str">
        <f t="shared" si="10"/>
        <v>0%</v>
      </c>
      <c r="N89" s="111">
        <f>IFERROR(VLOOKUP($B89,MMWR_TRAD_AGG_STATE_PEN[],N$1,0),"ERROR")</f>
        <v>11</v>
      </c>
      <c r="O89" s="112">
        <f>IFERROR(VLOOKUP($B89,MMWR_TRAD_AGG_STATE_PEN[],O$1,0),"ERROR")</f>
        <v>5</v>
      </c>
      <c r="P89" s="114">
        <f t="shared" si="11"/>
        <v>0.45454545454545453</v>
      </c>
      <c r="Q89" s="115">
        <f>IFERROR(VLOOKUP($B89,MMWR_TRAD_AGG_STATE_PEN[],Q$1,0),"ERROR")</f>
        <v>356</v>
      </c>
      <c r="R89" s="115">
        <f>IFERROR(VLOOKUP($B89,MMWR_TRAD_AGG_STATE_PEN[],R$1,0),"ERROR")</f>
        <v>46</v>
      </c>
      <c r="S89" s="115">
        <f>IFERROR(VLOOKUP($B89,MMWR_APP_STATE_PEN[],S$1,0),"ERROR")</f>
        <v>28</v>
      </c>
      <c r="T89" s="28"/>
    </row>
    <row r="90" spans="1:20" s="123" customFormat="1" x14ac:dyDescent="0.2">
      <c r="A90" s="28"/>
      <c r="B90" s="127" t="s">
        <v>421</v>
      </c>
      <c r="C90" s="109">
        <f>IFERROR(VLOOKUP($B90,MMWR_TRAD_AGG_STATE_PEN[],C$1,0),"ERROR")</f>
        <v>143</v>
      </c>
      <c r="D90" s="110">
        <f>IFERROR(VLOOKUP($B90,MMWR_TRAD_AGG_STATE_PEN[],D$1,0),"ERROR")</f>
        <v>73.972027972000006</v>
      </c>
      <c r="E90" s="111">
        <f>IFERROR(VLOOKUP($B90,MMWR_TRAD_AGG_STATE_PEN[],E$1,0),"ERROR")</f>
        <v>193</v>
      </c>
      <c r="F90" s="112">
        <f>IFERROR(VLOOKUP($B90,MMWR_TRAD_AGG_STATE_PEN[],F$1,0),"ERROR")</f>
        <v>8</v>
      </c>
      <c r="G90" s="113">
        <f t="shared" si="8"/>
        <v>4.145077720207254E-2</v>
      </c>
      <c r="H90" s="111">
        <f>IFERROR(VLOOKUP($B90,MMWR_TRAD_AGG_STATE_PEN[],H$1,0),"ERROR")</f>
        <v>214</v>
      </c>
      <c r="I90" s="112">
        <f>IFERROR(VLOOKUP($B90,MMWR_TRAD_AGG_STATE_PEN[],I$1,0),"ERROR")</f>
        <v>30</v>
      </c>
      <c r="J90" s="114">
        <f t="shared" si="9"/>
        <v>0.14018691588785046</v>
      </c>
      <c r="K90" s="111">
        <f>IFERROR(VLOOKUP($B90,MMWR_TRAD_AGG_STATE_PEN[],K$1,0),"ERROR")</f>
        <v>1</v>
      </c>
      <c r="L90" s="112">
        <f>IFERROR(VLOOKUP($B90,MMWR_TRAD_AGG_STATE_PEN[],L$1,0),"ERROR")</f>
        <v>0</v>
      </c>
      <c r="M90" s="114">
        <f t="shared" si="10"/>
        <v>0</v>
      </c>
      <c r="N90" s="111">
        <f>IFERROR(VLOOKUP($B90,MMWR_TRAD_AGG_STATE_PEN[],N$1,0),"ERROR")</f>
        <v>15</v>
      </c>
      <c r="O90" s="112">
        <f>IFERROR(VLOOKUP($B90,MMWR_TRAD_AGG_STATE_PEN[],O$1,0),"ERROR")</f>
        <v>7</v>
      </c>
      <c r="P90" s="114">
        <f t="shared" si="11"/>
        <v>0.46666666666666667</v>
      </c>
      <c r="Q90" s="115">
        <f>IFERROR(VLOOKUP($B90,MMWR_TRAD_AGG_STATE_PEN[],Q$1,0),"ERROR")</f>
        <v>204</v>
      </c>
      <c r="R90" s="115">
        <f>IFERROR(VLOOKUP($B90,MMWR_TRAD_AGG_STATE_PEN[],R$1,0),"ERROR")</f>
        <v>37</v>
      </c>
      <c r="S90" s="115">
        <f>IFERROR(VLOOKUP($B90,MMWR_APP_STATE_PEN[],S$1,0),"ERROR")</f>
        <v>25</v>
      </c>
      <c r="T90" s="28"/>
    </row>
    <row r="91" spans="1:20" s="123" customFormat="1" x14ac:dyDescent="0.2">
      <c r="A91" s="28"/>
      <c r="B91" s="127" t="s">
        <v>394</v>
      </c>
      <c r="C91" s="109">
        <f>IFERROR(VLOOKUP($B91,MMWR_TRAD_AGG_STATE_PEN[],C$1,0),"ERROR")</f>
        <v>540</v>
      </c>
      <c r="D91" s="110">
        <f>IFERROR(VLOOKUP($B91,MMWR_TRAD_AGG_STATE_PEN[],D$1,0),"ERROR")</f>
        <v>58.822222222199997</v>
      </c>
      <c r="E91" s="111">
        <f>IFERROR(VLOOKUP($B91,MMWR_TRAD_AGG_STATE_PEN[],E$1,0),"ERROR")</f>
        <v>1055</v>
      </c>
      <c r="F91" s="112">
        <f>IFERROR(VLOOKUP($B91,MMWR_TRAD_AGG_STATE_PEN[],F$1,0),"ERROR")</f>
        <v>130</v>
      </c>
      <c r="G91" s="113">
        <f t="shared" si="8"/>
        <v>0.12322274881516587</v>
      </c>
      <c r="H91" s="111">
        <f>IFERROR(VLOOKUP($B91,MMWR_TRAD_AGG_STATE_PEN[],H$1,0),"ERROR")</f>
        <v>837</v>
      </c>
      <c r="I91" s="112">
        <f>IFERROR(VLOOKUP($B91,MMWR_TRAD_AGG_STATE_PEN[],I$1,0),"ERROR")</f>
        <v>85</v>
      </c>
      <c r="J91" s="114">
        <f t="shared" si="9"/>
        <v>0.1015531660692951</v>
      </c>
      <c r="K91" s="111">
        <f>IFERROR(VLOOKUP($B91,MMWR_TRAD_AGG_STATE_PEN[],K$1,0),"ERROR")</f>
        <v>1</v>
      </c>
      <c r="L91" s="112">
        <f>IFERROR(VLOOKUP($B91,MMWR_TRAD_AGG_STATE_PEN[],L$1,0),"ERROR")</f>
        <v>1</v>
      </c>
      <c r="M91" s="114">
        <f t="shared" si="10"/>
        <v>1</v>
      </c>
      <c r="N91" s="111">
        <f>IFERROR(VLOOKUP($B91,MMWR_TRAD_AGG_STATE_PEN[],N$1,0),"ERROR")</f>
        <v>62</v>
      </c>
      <c r="O91" s="112">
        <f>IFERROR(VLOOKUP($B91,MMWR_TRAD_AGG_STATE_PEN[],O$1,0),"ERROR")</f>
        <v>13</v>
      </c>
      <c r="P91" s="114">
        <f t="shared" si="11"/>
        <v>0.20967741935483872</v>
      </c>
      <c r="Q91" s="115">
        <f>IFERROR(VLOOKUP($B91,MMWR_TRAD_AGG_STATE_PEN[],Q$1,0),"ERROR")</f>
        <v>122</v>
      </c>
      <c r="R91" s="115">
        <f>IFERROR(VLOOKUP($B91,MMWR_TRAD_AGG_STATE_PEN[],R$1,0),"ERROR")</f>
        <v>110</v>
      </c>
      <c r="S91" s="115">
        <f>IFERROR(VLOOKUP($B91,MMWR_APP_STATE_PEN[],S$1,0),"ERROR")</f>
        <v>223</v>
      </c>
      <c r="T91" s="28"/>
    </row>
    <row r="92" spans="1:20" s="123" customFormat="1" x14ac:dyDescent="0.2">
      <c r="A92" s="28"/>
      <c r="B92" s="127" t="s">
        <v>400</v>
      </c>
      <c r="C92" s="109">
        <f>IFERROR(VLOOKUP($B92,MMWR_TRAD_AGG_STATE_PEN[],C$1,0),"ERROR")</f>
        <v>232</v>
      </c>
      <c r="D92" s="110">
        <f>IFERROR(VLOOKUP($B92,MMWR_TRAD_AGG_STATE_PEN[],D$1,0),"ERROR")</f>
        <v>66.681034482800001</v>
      </c>
      <c r="E92" s="111">
        <f>IFERROR(VLOOKUP($B92,MMWR_TRAD_AGG_STATE_PEN[],E$1,0),"ERROR")</f>
        <v>257</v>
      </c>
      <c r="F92" s="112">
        <f>IFERROR(VLOOKUP($B92,MMWR_TRAD_AGG_STATE_PEN[],F$1,0),"ERROR")</f>
        <v>5</v>
      </c>
      <c r="G92" s="113">
        <f t="shared" si="8"/>
        <v>1.9455252918287938E-2</v>
      </c>
      <c r="H92" s="111">
        <f>IFERROR(VLOOKUP($B92,MMWR_TRAD_AGG_STATE_PEN[],H$1,0),"ERROR")</f>
        <v>337</v>
      </c>
      <c r="I92" s="112">
        <f>IFERROR(VLOOKUP($B92,MMWR_TRAD_AGG_STATE_PEN[],I$1,0),"ERROR")</f>
        <v>35</v>
      </c>
      <c r="J92" s="114">
        <f t="shared" si="9"/>
        <v>0.10385756676557864</v>
      </c>
      <c r="K92" s="111">
        <f>IFERROR(VLOOKUP($B92,MMWR_TRAD_AGG_STATE_PEN[],K$1,0),"ERROR")</f>
        <v>1</v>
      </c>
      <c r="L92" s="112">
        <f>IFERROR(VLOOKUP($B92,MMWR_TRAD_AGG_STATE_PEN[],L$1,0),"ERROR")</f>
        <v>1</v>
      </c>
      <c r="M92" s="114">
        <f t="shared" si="10"/>
        <v>1</v>
      </c>
      <c r="N92" s="111">
        <f>IFERROR(VLOOKUP($B92,MMWR_TRAD_AGG_STATE_PEN[],N$1,0),"ERROR")</f>
        <v>18</v>
      </c>
      <c r="O92" s="112">
        <f>IFERROR(VLOOKUP($B92,MMWR_TRAD_AGG_STATE_PEN[],O$1,0),"ERROR")</f>
        <v>5</v>
      </c>
      <c r="P92" s="114">
        <f t="shared" si="11"/>
        <v>0.27777777777777779</v>
      </c>
      <c r="Q92" s="115">
        <f>IFERROR(VLOOKUP($B92,MMWR_TRAD_AGG_STATE_PEN[],Q$1,0),"ERROR")</f>
        <v>852</v>
      </c>
      <c r="R92" s="115">
        <f>IFERROR(VLOOKUP($B92,MMWR_TRAD_AGG_STATE_PEN[],R$1,0),"ERROR")</f>
        <v>69</v>
      </c>
      <c r="S92" s="115">
        <f>IFERROR(VLOOKUP($B92,MMWR_APP_STATE_PEN[],S$1,0),"ERROR")</f>
        <v>29</v>
      </c>
      <c r="T92" s="28"/>
    </row>
    <row r="93" spans="1:20" s="123" customFormat="1" x14ac:dyDescent="0.2">
      <c r="A93" s="28"/>
      <c r="B93" s="127" t="s">
        <v>396</v>
      </c>
      <c r="C93" s="109">
        <f>IFERROR(VLOOKUP($B93,MMWR_TRAD_AGG_STATE_PEN[],C$1,0),"ERROR")</f>
        <v>446</v>
      </c>
      <c r="D93" s="110">
        <f>IFERROR(VLOOKUP($B93,MMWR_TRAD_AGG_STATE_PEN[],D$1,0),"ERROR")</f>
        <v>68.345291479799997</v>
      </c>
      <c r="E93" s="111">
        <f>IFERROR(VLOOKUP($B93,MMWR_TRAD_AGG_STATE_PEN[],E$1,0),"ERROR")</f>
        <v>715</v>
      </c>
      <c r="F93" s="112">
        <f>IFERROR(VLOOKUP($B93,MMWR_TRAD_AGG_STATE_PEN[],F$1,0),"ERROR")</f>
        <v>88</v>
      </c>
      <c r="G93" s="113">
        <f t="shared" si="8"/>
        <v>0.12307692307692308</v>
      </c>
      <c r="H93" s="111">
        <f>IFERROR(VLOOKUP($B93,MMWR_TRAD_AGG_STATE_PEN[],H$1,0),"ERROR")</f>
        <v>668</v>
      </c>
      <c r="I93" s="112">
        <f>IFERROR(VLOOKUP($B93,MMWR_TRAD_AGG_STATE_PEN[],I$1,0),"ERROR")</f>
        <v>51</v>
      </c>
      <c r="J93" s="114">
        <f t="shared" si="9"/>
        <v>7.6347305389221562E-2</v>
      </c>
      <c r="K93" s="111">
        <f>IFERROR(VLOOKUP($B93,MMWR_TRAD_AGG_STATE_PEN[],K$1,0),"ERROR")</f>
        <v>3</v>
      </c>
      <c r="L93" s="112">
        <f>IFERROR(VLOOKUP($B93,MMWR_TRAD_AGG_STATE_PEN[],L$1,0),"ERROR")</f>
        <v>3</v>
      </c>
      <c r="M93" s="114">
        <f t="shared" si="10"/>
        <v>1</v>
      </c>
      <c r="N93" s="111">
        <f>IFERROR(VLOOKUP($B93,MMWR_TRAD_AGG_STATE_PEN[],N$1,0),"ERROR")</f>
        <v>48</v>
      </c>
      <c r="O93" s="112">
        <f>IFERROR(VLOOKUP($B93,MMWR_TRAD_AGG_STATE_PEN[],O$1,0),"ERROR")</f>
        <v>14</v>
      </c>
      <c r="P93" s="114">
        <f t="shared" si="11"/>
        <v>0.29166666666666669</v>
      </c>
      <c r="Q93" s="115">
        <f>IFERROR(VLOOKUP($B93,MMWR_TRAD_AGG_STATE_PEN[],Q$1,0),"ERROR")</f>
        <v>119</v>
      </c>
      <c r="R93" s="115">
        <f>IFERROR(VLOOKUP($B93,MMWR_TRAD_AGG_STATE_PEN[],R$1,0),"ERROR")</f>
        <v>63</v>
      </c>
      <c r="S93" s="115">
        <f>IFERROR(VLOOKUP($B93,MMWR_APP_STATE_PEN[],S$1,0),"ERROR")</f>
        <v>217</v>
      </c>
      <c r="T93" s="28"/>
    </row>
    <row r="94" spans="1:20" s="123" customFormat="1" x14ac:dyDescent="0.2">
      <c r="A94" s="28"/>
      <c r="B94" s="127" t="s">
        <v>399</v>
      </c>
      <c r="C94" s="109">
        <f>IFERROR(VLOOKUP($B94,MMWR_TRAD_AGG_STATE_PEN[],C$1,0),"ERROR")</f>
        <v>77</v>
      </c>
      <c r="D94" s="110">
        <f>IFERROR(VLOOKUP($B94,MMWR_TRAD_AGG_STATE_PEN[],D$1,0),"ERROR")</f>
        <v>52.675324675299997</v>
      </c>
      <c r="E94" s="111">
        <f>IFERROR(VLOOKUP($B94,MMWR_TRAD_AGG_STATE_PEN[],E$1,0),"ERROR")</f>
        <v>86</v>
      </c>
      <c r="F94" s="112">
        <f>IFERROR(VLOOKUP($B94,MMWR_TRAD_AGG_STATE_PEN[],F$1,0),"ERROR")</f>
        <v>2</v>
      </c>
      <c r="G94" s="113">
        <f t="shared" si="8"/>
        <v>2.3255813953488372E-2</v>
      </c>
      <c r="H94" s="111">
        <f>IFERROR(VLOOKUP($B94,MMWR_TRAD_AGG_STATE_PEN[],H$1,0),"ERROR")</f>
        <v>122</v>
      </c>
      <c r="I94" s="112">
        <f>IFERROR(VLOOKUP($B94,MMWR_TRAD_AGG_STATE_PEN[],I$1,0),"ERROR")</f>
        <v>8</v>
      </c>
      <c r="J94" s="114">
        <f t="shared" si="9"/>
        <v>6.5573770491803282E-2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251</v>
      </c>
      <c r="R94" s="115">
        <f>IFERROR(VLOOKUP($B94,MMWR_TRAD_AGG_STATE_PEN[],R$1,0),"ERROR")</f>
        <v>27</v>
      </c>
      <c r="S94" s="115">
        <f>IFERROR(VLOOKUP($B94,MMWR_APP_STATE_PEN[],S$1,0),"ERROR")</f>
        <v>16</v>
      </c>
      <c r="T94" s="28"/>
    </row>
    <row r="95" spans="1:20" s="123" customFormat="1" x14ac:dyDescent="0.2">
      <c r="A95" s="28"/>
      <c r="B95" s="127" t="s">
        <v>418</v>
      </c>
      <c r="C95" s="109">
        <f>IFERROR(VLOOKUP($B95,MMWR_TRAD_AGG_STATE_PEN[],C$1,0),"ERROR")</f>
        <v>35</v>
      </c>
      <c r="D95" s="110">
        <f>IFERROR(VLOOKUP($B95,MMWR_TRAD_AGG_STATE_PEN[],D$1,0),"ERROR")</f>
        <v>77.1714285714</v>
      </c>
      <c r="E95" s="111">
        <f>IFERROR(VLOOKUP($B95,MMWR_TRAD_AGG_STATE_PEN[],E$1,0),"ERROR")</f>
        <v>24</v>
      </c>
      <c r="F95" s="112">
        <f>IFERROR(VLOOKUP($B95,MMWR_TRAD_AGG_STATE_PEN[],F$1,0),"ERROR")</f>
        <v>0</v>
      </c>
      <c r="G95" s="113">
        <f t="shared" si="8"/>
        <v>0</v>
      </c>
      <c r="H95" s="111">
        <f>IFERROR(VLOOKUP($B95,MMWR_TRAD_AGG_STATE_PEN[],H$1,0),"ERROR")</f>
        <v>52</v>
      </c>
      <c r="I95" s="112">
        <f>IFERROR(VLOOKUP($B95,MMWR_TRAD_AGG_STATE_PEN[],I$1,0),"ERROR")</f>
        <v>9</v>
      </c>
      <c r="J95" s="114">
        <f t="shared" si="9"/>
        <v>0.17307692307692307</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64</v>
      </c>
      <c r="R95" s="115">
        <f>IFERROR(VLOOKUP($B95,MMWR_TRAD_AGG_STATE_PEN[],R$1,0),"ERROR")</f>
        <v>12</v>
      </c>
      <c r="S95" s="115">
        <f>IFERROR(VLOOKUP($B95,MMWR_APP_STATE_PEN[],S$1,0),"ERROR")</f>
        <v>3</v>
      </c>
      <c r="T95" s="28"/>
    </row>
    <row r="96" spans="1:20" s="123" customFormat="1" x14ac:dyDescent="0.2">
      <c r="A96" s="28"/>
      <c r="B96" s="127" t="s">
        <v>390</v>
      </c>
      <c r="C96" s="109">
        <f>IFERROR(VLOOKUP($B96,MMWR_TRAD_AGG_STATE_PEN[],C$1,0),"ERROR")</f>
        <v>552</v>
      </c>
      <c r="D96" s="110">
        <f>IFERROR(VLOOKUP($B96,MMWR_TRAD_AGG_STATE_PEN[],D$1,0),"ERROR")</f>
        <v>58.829710144899998</v>
      </c>
      <c r="E96" s="111">
        <f>IFERROR(VLOOKUP($B96,MMWR_TRAD_AGG_STATE_PEN[],E$1,0),"ERROR")</f>
        <v>1114</v>
      </c>
      <c r="F96" s="112">
        <f>IFERROR(VLOOKUP($B96,MMWR_TRAD_AGG_STATE_PEN[],F$1,0),"ERROR")</f>
        <v>129</v>
      </c>
      <c r="G96" s="113">
        <f t="shared" si="8"/>
        <v>0.11579892280071813</v>
      </c>
      <c r="H96" s="111">
        <f>IFERROR(VLOOKUP($B96,MMWR_TRAD_AGG_STATE_PEN[],H$1,0),"ERROR")</f>
        <v>965</v>
      </c>
      <c r="I96" s="112">
        <f>IFERROR(VLOOKUP($B96,MMWR_TRAD_AGG_STATE_PEN[],I$1,0),"ERROR")</f>
        <v>87</v>
      </c>
      <c r="J96" s="114">
        <f t="shared" si="9"/>
        <v>9.0155440414507779E-2</v>
      </c>
      <c r="K96" s="111">
        <f>IFERROR(VLOOKUP($B96,MMWR_TRAD_AGG_STATE_PEN[],K$1,0),"ERROR")</f>
        <v>1</v>
      </c>
      <c r="L96" s="112">
        <f>IFERROR(VLOOKUP($B96,MMWR_TRAD_AGG_STATE_PEN[],L$1,0),"ERROR")</f>
        <v>1</v>
      </c>
      <c r="M96" s="114">
        <f t="shared" si="10"/>
        <v>1</v>
      </c>
      <c r="N96" s="111">
        <f>IFERROR(VLOOKUP($B96,MMWR_TRAD_AGG_STATE_PEN[],N$1,0),"ERROR")</f>
        <v>84</v>
      </c>
      <c r="O96" s="112">
        <f>IFERROR(VLOOKUP($B96,MMWR_TRAD_AGG_STATE_PEN[],O$1,0),"ERROR")</f>
        <v>17</v>
      </c>
      <c r="P96" s="114">
        <f t="shared" si="11"/>
        <v>0.20238095238095238</v>
      </c>
      <c r="Q96" s="115">
        <f>IFERROR(VLOOKUP($B96,MMWR_TRAD_AGG_STATE_PEN[],Q$1,0),"ERROR")</f>
        <v>124</v>
      </c>
      <c r="R96" s="115">
        <f>IFERROR(VLOOKUP($B96,MMWR_TRAD_AGG_STATE_PEN[],R$1,0),"ERROR")</f>
        <v>129</v>
      </c>
      <c r="S96" s="115">
        <f>IFERROR(VLOOKUP($B96,MMWR_APP_STATE_PEN[],S$1,0),"ERROR")</f>
        <v>288</v>
      </c>
      <c r="T96" s="28"/>
    </row>
    <row r="97" spans="1:20" s="123" customFormat="1" x14ac:dyDescent="0.2">
      <c r="A97" s="28"/>
      <c r="B97" s="127" t="s">
        <v>419</v>
      </c>
      <c r="C97" s="109">
        <f>IFERROR(VLOOKUP($B97,MMWR_TRAD_AGG_STATE_PEN[],C$1,0),"ERROR")</f>
        <v>49</v>
      </c>
      <c r="D97" s="110">
        <f>IFERROR(VLOOKUP($B97,MMWR_TRAD_AGG_STATE_PEN[],D$1,0),"ERROR")</f>
        <v>65.183673469400006</v>
      </c>
      <c r="E97" s="111">
        <f>IFERROR(VLOOKUP($B97,MMWR_TRAD_AGG_STATE_PEN[],E$1,0),"ERROR")</f>
        <v>49</v>
      </c>
      <c r="F97" s="112">
        <f>IFERROR(VLOOKUP($B97,MMWR_TRAD_AGG_STATE_PEN[],F$1,0),"ERROR")</f>
        <v>1</v>
      </c>
      <c r="G97" s="113">
        <f t="shared" si="8"/>
        <v>2.0408163265306121E-2</v>
      </c>
      <c r="H97" s="111">
        <f>IFERROR(VLOOKUP($B97,MMWR_TRAD_AGG_STATE_PEN[],H$1,0),"ERROR")</f>
        <v>81</v>
      </c>
      <c r="I97" s="112">
        <f>IFERROR(VLOOKUP($B97,MMWR_TRAD_AGG_STATE_PEN[],I$1,0),"ERROR")</f>
        <v>5</v>
      </c>
      <c r="J97" s="114">
        <f t="shared" si="9"/>
        <v>6.1728395061728392E-2</v>
      </c>
      <c r="K97" s="111">
        <f>IFERROR(VLOOKUP($B97,MMWR_TRAD_AGG_STATE_PEN[],K$1,0),"ERROR")</f>
        <v>1</v>
      </c>
      <c r="L97" s="112">
        <f>IFERROR(VLOOKUP($B97,MMWR_TRAD_AGG_STATE_PEN[],L$1,0),"ERROR")</f>
        <v>1</v>
      </c>
      <c r="M97" s="114">
        <f t="shared" si="10"/>
        <v>1</v>
      </c>
      <c r="N97" s="111">
        <f>IFERROR(VLOOKUP($B97,MMWR_TRAD_AGG_STATE_PEN[],N$1,0),"ERROR")</f>
        <v>2</v>
      </c>
      <c r="O97" s="112">
        <f>IFERROR(VLOOKUP($B97,MMWR_TRAD_AGG_STATE_PEN[],O$1,0),"ERROR")</f>
        <v>0</v>
      </c>
      <c r="P97" s="114">
        <f t="shared" si="11"/>
        <v>0</v>
      </c>
      <c r="Q97" s="115">
        <f>IFERROR(VLOOKUP($B97,MMWR_TRAD_AGG_STATE_PEN[],Q$1,0),"ERROR")</f>
        <v>120</v>
      </c>
      <c r="R97" s="115">
        <f>IFERROR(VLOOKUP($B97,MMWR_TRAD_AGG_STATE_PEN[],R$1,0),"ERROR")</f>
        <v>8</v>
      </c>
      <c r="S97" s="115">
        <f>IFERROR(VLOOKUP($B97,MMWR_APP_STATE_PEN[],S$1,0),"ERROR")</f>
        <v>6</v>
      </c>
      <c r="T97" s="28"/>
    </row>
    <row r="98" spans="1:20" s="123" customFormat="1" x14ac:dyDescent="0.2">
      <c r="A98" s="28"/>
      <c r="B98" s="127" t="s">
        <v>395</v>
      </c>
      <c r="C98" s="109">
        <f>IFERROR(VLOOKUP($B98,MMWR_TRAD_AGG_STATE_PEN[],C$1,0),"ERROR")</f>
        <v>244</v>
      </c>
      <c r="D98" s="110">
        <f>IFERROR(VLOOKUP($B98,MMWR_TRAD_AGG_STATE_PEN[],D$1,0),"ERROR")</f>
        <v>56.709016393399999</v>
      </c>
      <c r="E98" s="111">
        <f>IFERROR(VLOOKUP($B98,MMWR_TRAD_AGG_STATE_PEN[],E$1,0),"ERROR")</f>
        <v>435</v>
      </c>
      <c r="F98" s="112">
        <f>IFERROR(VLOOKUP($B98,MMWR_TRAD_AGG_STATE_PEN[],F$1,0),"ERROR")</f>
        <v>51</v>
      </c>
      <c r="G98" s="113">
        <f t="shared" si="8"/>
        <v>0.11724137931034483</v>
      </c>
      <c r="H98" s="111">
        <f>IFERROR(VLOOKUP($B98,MMWR_TRAD_AGG_STATE_PEN[],H$1,0),"ERROR")</f>
        <v>370</v>
      </c>
      <c r="I98" s="112">
        <f>IFERROR(VLOOKUP($B98,MMWR_TRAD_AGG_STATE_PEN[],I$1,0),"ERROR")</f>
        <v>28</v>
      </c>
      <c r="J98" s="114">
        <f t="shared" si="9"/>
        <v>7.567567567567568E-2</v>
      </c>
      <c r="K98" s="111">
        <f>IFERROR(VLOOKUP($B98,MMWR_TRAD_AGG_STATE_PEN[],K$1,0),"ERROR")</f>
        <v>1</v>
      </c>
      <c r="L98" s="112">
        <f>IFERROR(VLOOKUP($B98,MMWR_TRAD_AGG_STATE_PEN[],L$1,0),"ERROR")</f>
        <v>1</v>
      </c>
      <c r="M98" s="114">
        <f t="shared" si="10"/>
        <v>1</v>
      </c>
      <c r="N98" s="111">
        <f>IFERROR(VLOOKUP($B98,MMWR_TRAD_AGG_STATE_PEN[],N$1,0),"ERROR")</f>
        <v>39</v>
      </c>
      <c r="O98" s="112">
        <f>IFERROR(VLOOKUP($B98,MMWR_TRAD_AGG_STATE_PEN[],O$1,0),"ERROR")</f>
        <v>8</v>
      </c>
      <c r="P98" s="114">
        <f t="shared" si="11"/>
        <v>0.20512820512820512</v>
      </c>
      <c r="Q98" s="115">
        <f>IFERROR(VLOOKUP($B98,MMWR_TRAD_AGG_STATE_PEN[],Q$1,0),"ERROR")</f>
        <v>60</v>
      </c>
      <c r="R98" s="115">
        <f>IFERROR(VLOOKUP($B98,MMWR_TRAD_AGG_STATE_PEN[],R$1,0),"ERROR")</f>
        <v>36</v>
      </c>
      <c r="S98" s="115">
        <f>IFERROR(VLOOKUP($B98,MMWR_APP_STATE_PEN[],S$1,0),"ERROR")</f>
        <v>93</v>
      </c>
      <c r="T98" s="28"/>
    </row>
    <row r="99" spans="1:20" s="123" customFormat="1" x14ac:dyDescent="0.2">
      <c r="A99" s="28"/>
      <c r="B99" s="126" t="s">
        <v>384</v>
      </c>
      <c r="C99" s="102">
        <f>IFERROR(VLOOKUP($B99,MMWR_TRAD_AGG_ST_DISTRICT_PEN[],C$1,0),"ERROR")</f>
        <v>2396</v>
      </c>
      <c r="D99" s="103">
        <f>IFERROR(VLOOKUP($B99,MMWR_TRAD_AGG_ST_DISTRICT_PEN[],D$1,0),"ERROR")</f>
        <v>68.212437395699993</v>
      </c>
      <c r="E99" s="102">
        <f>IFERROR(VLOOKUP($B99,MMWR_TRAD_AGG_ST_DISTRICT_PEN[],E$1,0),"ERROR")</f>
        <v>3085</v>
      </c>
      <c r="F99" s="102">
        <f>IFERROR(VLOOKUP($B99,MMWR_TRAD_AGG_ST_DISTRICT_PEN[],F$1,0),"ERROR")</f>
        <v>181</v>
      </c>
      <c r="G99" s="104">
        <f t="shared" si="8"/>
        <v>5.8670988654781202E-2</v>
      </c>
      <c r="H99" s="102">
        <f>IFERROR(VLOOKUP($B99,MMWR_TRAD_AGG_ST_DISTRICT_PEN[],H$1,0),"ERROR")</f>
        <v>3827</v>
      </c>
      <c r="I99" s="102">
        <f>IFERROR(VLOOKUP($B99,MMWR_TRAD_AGG_ST_DISTRICT_PEN[],I$1,0),"ERROR")</f>
        <v>393</v>
      </c>
      <c r="J99" s="104">
        <f t="shared" si="9"/>
        <v>0.10269140318787562</v>
      </c>
      <c r="K99" s="102">
        <f>IFERROR(VLOOKUP($B99,MMWR_TRAD_AGG_ST_DISTRICT_PEN[],K$1,0),"ERROR")</f>
        <v>22</v>
      </c>
      <c r="L99" s="102">
        <f>IFERROR(VLOOKUP($B99,MMWR_TRAD_AGG_ST_DISTRICT_PEN[],L$1,0),"ERROR")</f>
        <v>20</v>
      </c>
      <c r="M99" s="104">
        <f t="shared" si="10"/>
        <v>0.90909090909090906</v>
      </c>
      <c r="N99" s="102">
        <f>IFERROR(VLOOKUP($B99,MMWR_TRAD_AGG_ST_DISTRICT_PEN[],N$1,0),"ERROR")</f>
        <v>234</v>
      </c>
      <c r="O99" s="102">
        <f>IFERROR(VLOOKUP($B99,MMWR_TRAD_AGG_ST_DISTRICT_PEN[],O$1,0),"ERROR")</f>
        <v>81</v>
      </c>
      <c r="P99" s="104">
        <f t="shared" si="11"/>
        <v>0.34615384615384615</v>
      </c>
      <c r="Q99" s="102">
        <f>IFERROR(VLOOKUP($B99,MMWR_TRAD_AGG_ST_DISTRICT_PEN[],Q$1,0),"ERROR")</f>
        <v>3276</v>
      </c>
      <c r="R99" s="106">
        <f>IFERROR(VLOOKUP($B99,MMWR_TRAD_AGG_ST_DISTRICT_PEN[],R$1,0),"ERROR")</f>
        <v>860</v>
      </c>
      <c r="S99" s="106">
        <f>IFERROR(VLOOKUP($B99,MMWR_APP_STATE_PEN[],S$1,0),"ERROR")</f>
        <v>889</v>
      </c>
      <c r="T99" s="28"/>
    </row>
    <row r="100" spans="1:20" s="123" customFormat="1" x14ac:dyDescent="0.2">
      <c r="A100" s="28"/>
      <c r="B100" s="127" t="s">
        <v>410</v>
      </c>
      <c r="C100" s="109">
        <f>IFERROR(VLOOKUP($B100,MMWR_TRAD_AGG_STATE_PEN[],C$1,0),"ERROR")</f>
        <v>226</v>
      </c>
      <c r="D100" s="110">
        <f>IFERROR(VLOOKUP($B100,MMWR_TRAD_AGG_STATE_PEN[],D$1,0),"ERROR")</f>
        <v>68.314159291999999</v>
      </c>
      <c r="E100" s="111">
        <f>IFERROR(VLOOKUP($B100,MMWR_TRAD_AGG_STATE_PEN[],E$1,0),"ERROR")</f>
        <v>277</v>
      </c>
      <c r="F100" s="112">
        <f>IFERROR(VLOOKUP($B100,MMWR_TRAD_AGG_STATE_PEN[],F$1,0),"ERROR")</f>
        <v>23</v>
      </c>
      <c r="G100" s="113">
        <f t="shared" si="8"/>
        <v>8.3032490974729242E-2</v>
      </c>
      <c r="H100" s="111">
        <f>IFERROR(VLOOKUP($B100,MMWR_TRAD_AGG_STATE_PEN[],H$1,0),"ERROR")</f>
        <v>320</v>
      </c>
      <c r="I100" s="112">
        <f>IFERROR(VLOOKUP($B100,MMWR_TRAD_AGG_STATE_PEN[],I$1,0),"ERROR")</f>
        <v>33</v>
      </c>
      <c r="J100" s="114">
        <f t="shared" si="9"/>
        <v>0.10312499999999999</v>
      </c>
      <c r="K100" s="111">
        <f>IFERROR(VLOOKUP($B100,MMWR_TRAD_AGG_STATE_PEN[],K$1,0),"ERROR")</f>
        <v>4</v>
      </c>
      <c r="L100" s="112">
        <f>IFERROR(VLOOKUP($B100,MMWR_TRAD_AGG_STATE_PEN[],L$1,0),"ERROR")</f>
        <v>4</v>
      </c>
      <c r="M100" s="114">
        <f t="shared" si="10"/>
        <v>1</v>
      </c>
      <c r="N100" s="111">
        <f>IFERROR(VLOOKUP($B100,MMWR_TRAD_AGG_STATE_PEN[],N$1,0),"ERROR")</f>
        <v>23</v>
      </c>
      <c r="O100" s="112">
        <f>IFERROR(VLOOKUP($B100,MMWR_TRAD_AGG_STATE_PEN[],O$1,0),"ERROR")</f>
        <v>6</v>
      </c>
      <c r="P100" s="114">
        <f t="shared" si="11"/>
        <v>0.2608695652173913</v>
      </c>
      <c r="Q100" s="115">
        <f>IFERROR(VLOOKUP($B100,MMWR_TRAD_AGG_STATE_PEN[],Q$1,0),"ERROR")</f>
        <v>75</v>
      </c>
      <c r="R100" s="115">
        <f>IFERROR(VLOOKUP($B100,MMWR_TRAD_AGG_STATE_PEN[],R$1,0),"ERROR")</f>
        <v>40</v>
      </c>
      <c r="S100" s="115">
        <f>IFERROR(VLOOKUP($B100,MMWR_APP_STATE_PEN[],S$1,0),"ERROR")</f>
        <v>146</v>
      </c>
      <c r="T100" s="28"/>
    </row>
    <row r="101" spans="1:20" s="123" customFormat="1" x14ac:dyDescent="0.2">
      <c r="A101" s="28"/>
      <c r="B101" s="127" t="s">
        <v>402</v>
      </c>
      <c r="C101" s="109">
        <f>IFERROR(VLOOKUP($B101,MMWR_TRAD_AGG_STATE_PEN[],C$1,0),"ERROR")</f>
        <v>146</v>
      </c>
      <c r="D101" s="110">
        <f>IFERROR(VLOOKUP($B101,MMWR_TRAD_AGG_STATE_PEN[],D$1,0),"ERROR")</f>
        <v>83.006849315099998</v>
      </c>
      <c r="E101" s="111">
        <f>IFERROR(VLOOKUP($B101,MMWR_TRAD_AGG_STATE_PEN[],E$1,0),"ERROR")</f>
        <v>232</v>
      </c>
      <c r="F101" s="112">
        <f>IFERROR(VLOOKUP($B101,MMWR_TRAD_AGG_STATE_PEN[],F$1,0),"ERROR")</f>
        <v>10</v>
      </c>
      <c r="G101" s="113">
        <f t="shared" ref="G101:G127" si="12">IFERROR(F101/E101,"0%")</f>
        <v>4.3103448275862072E-2</v>
      </c>
      <c r="H101" s="111">
        <f>IFERROR(VLOOKUP($B101,MMWR_TRAD_AGG_STATE_PEN[],H$1,0),"ERROR")</f>
        <v>344</v>
      </c>
      <c r="I101" s="112">
        <f>IFERROR(VLOOKUP($B101,MMWR_TRAD_AGG_STATE_PEN[],I$1,0),"ERROR")</f>
        <v>44</v>
      </c>
      <c r="J101" s="114">
        <f t="shared" ref="J101:J127" si="13">IFERROR(I101/H101,"0%")</f>
        <v>0.12790697674418605</v>
      </c>
      <c r="K101" s="111">
        <f>IFERROR(VLOOKUP($B101,MMWR_TRAD_AGG_STATE_PEN[],K$1,0),"ERROR")</f>
        <v>4</v>
      </c>
      <c r="L101" s="112">
        <f>IFERROR(VLOOKUP($B101,MMWR_TRAD_AGG_STATE_PEN[],L$1,0),"ERROR")</f>
        <v>3</v>
      </c>
      <c r="M101" s="114">
        <f t="shared" ref="M101:M127" si="14">IFERROR(L101/K101,"0%")</f>
        <v>0.75</v>
      </c>
      <c r="N101" s="111">
        <f>IFERROR(VLOOKUP($B101,MMWR_TRAD_AGG_STATE_PEN[],N$1,0),"ERROR")</f>
        <v>17</v>
      </c>
      <c r="O101" s="112">
        <f>IFERROR(VLOOKUP($B101,MMWR_TRAD_AGG_STATE_PEN[],O$1,0),"ERROR")</f>
        <v>8</v>
      </c>
      <c r="P101" s="114">
        <f t="shared" ref="P101:P127" si="15">IFERROR(O101/N101,"0%")</f>
        <v>0.47058823529411764</v>
      </c>
      <c r="Q101" s="115">
        <f>IFERROR(VLOOKUP($B101,MMWR_TRAD_AGG_STATE_PEN[],Q$1,0),"ERROR")</f>
        <v>391</v>
      </c>
      <c r="R101" s="115">
        <f>IFERROR(VLOOKUP($B101,MMWR_TRAD_AGG_STATE_PEN[],R$1,0),"ERROR")</f>
        <v>82</v>
      </c>
      <c r="S101" s="115">
        <f>IFERROR(VLOOKUP($B101,MMWR_APP_STATE_PEN[],S$1,0),"ERROR")</f>
        <v>60</v>
      </c>
      <c r="T101" s="28"/>
    </row>
    <row r="102" spans="1:20" s="123" customFormat="1" x14ac:dyDescent="0.2">
      <c r="A102" s="28"/>
      <c r="B102" s="127" t="s">
        <v>386</v>
      </c>
      <c r="C102" s="109">
        <f>IFERROR(VLOOKUP($B102,MMWR_TRAD_AGG_STATE_PEN[],C$1,0),"ERROR")</f>
        <v>381</v>
      </c>
      <c r="D102" s="110">
        <f>IFERROR(VLOOKUP($B102,MMWR_TRAD_AGG_STATE_PEN[],D$1,0),"ERROR")</f>
        <v>70.377952755899997</v>
      </c>
      <c r="E102" s="111">
        <f>IFERROR(VLOOKUP($B102,MMWR_TRAD_AGG_STATE_PEN[],E$1,0),"ERROR")</f>
        <v>471</v>
      </c>
      <c r="F102" s="112">
        <f>IFERROR(VLOOKUP($B102,MMWR_TRAD_AGG_STATE_PEN[],F$1,0),"ERROR")</f>
        <v>45</v>
      </c>
      <c r="G102" s="113">
        <f t="shared" si="12"/>
        <v>9.5541401273885357E-2</v>
      </c>
      <c r="H102" s="111">
        <f>IFERROR(VLOOKUP($B102,MMWR_TRAD_AGG_STATE_PEN[],H$1,0),"ERROR")</f>
        <v>534</v>
      </c>
      <c r="I102" s="112">
        <f>IFERROR(VLOOKUP($B102,MMWR_TRAD_AGG_STATE_PEN[],I$1,0),"ERROR")</f>
        <v>59</v>
      </c>
      <c r="J102" s="114">
        <f t="shared" si="13"/>
        <v>0.1104868913857678</v>
      </c>
      <c r="K102" s="111">
        <f>IFERROR(VLOOKUP($B102,MMWR_TRAD_AGG_STATE_PEN[],K$1,0),"ERROR")</f>
        <v>2</v>
      </c>
      <c r="L102" s="112">
        <f>IFERROR(VLOOKUP($B102,MMWR_TRAD_AGG_STATE_PEN[],L$1,0),"ERROR")</f>
        <v>2</v>
      </c>
      <c r="M102" s="114">
        <f t="shared" si="14"/>
        <v>1</v>
      </c>
      <c r="N102" s="111">
        <f>IFERROR(VLOOKUP($B102,MMWR_TRAD_AGG_STATE_PEN[],N$1,0),"ERROR")</f>
        <v>36</v>
      </c>
      <c r="O102" s="112">
        <f>IFERROR(VLOOKUP($B102,MMWR_TRAD_AGG_STATE_PEN[],O$1,0),"ERROR")</f>
        <v>8</v>
      </c>
      <c r="P102" s="114">
        <f t="shared" si="15"/>
        <v>0.22222222222222221</v>
      </c>
      <c r="Q102" s="115">
        <f>IFERROR(VLOOKUP($B102,MMWR_TRAD_AGG_STATE_PEN[],Q$1,0),"ERROR")</f>
        <v>107</v>
      </c>
      <c r="R102" s="115">
        <f>IFERROR(VLOOKUP($B102,MMWR_TRAD_AGG_STATE_PEN[],R$1,0),"ERROR")</f>
        <v>75</v>
      </c>
      <c r="S102" s="115">
        <f>IFERROR(VLOOKUP($B102,MMWR_APP_STATE_PEN[],S$1,0),"ERROR")</f>
        <v>159</v>
      </c>
      <c r="T102" s="28"/>
    </row>
    <row r="103" spans="1:20" s="123" customFormat="1" x14ac:dyDescent="0.2">
      <c r="A103" s="28"/>
      <c r="B103" s="127" t="s">
        <v>388</v>
      </c>
      <c r="C103" s="109">
        <f>IFERROR(VLOOKUP($B103,MMWR_TRAD_AGG_STATE_PEN[],C$1,0),"ERROR")</f>
        <v>216</v>
      </c>
      <c r="D103" s="110">
        <f>IFERROR(VLOOKUP($B103,MMWR_TRAD_AGG_STATE_PEN[],D$1,0),"ERROR")</f>
        <v>68.342592592599999</v>
      </c>
      <c r="E103" s="111">
        <f>IFERROR(VLOOKUP($B103,MMWR_TRAD_AGG_STATE_PEN[],E$1,0),"ERROR")</f>
        <v>306</v>
      </c>
      <c r="F103" s="112">
        <f>IFERROR(VLOOKUP($B103,MMWR_TRAD_AGG_STATE_PEN[],F$1,0),"ERROR")</f>
        <v>32</v>
      </c>
      <c r="G103" s="113">
        <f t="shared" si="12"/>
        <v>0.10457516339869281</v>
      </c>
      <c r="H103" s="111">
        <f>IFERROR(VLOOKUP($B103,MMWR_TRAD_AGG_STATE_PEN[],H$1,0),"ERROR")</f>
        <v>328</v>
      </c>
      <c r="I103" s="112">
        <f>IFERROR(VLOOKUP($B103,MMWR_TRAD_AGG_STATE_PEN[],I$1,0),"ERROR")</f>
        <v>49</v>
      </c>
      <c r="J103" s="114">
        <f t="shared" si="13"/>
        <v>0.14939024390243902</v>
      </c>
      <c r="K103" s="111">
        <f>IFERROR(VLOOKUP($B103,MMWR_TRAD_AGG_STATE_PEN[],K$1,0),"ERROR")</f>
        <v>4</v>
      </c>
      <c r="L103" s="112">
        <f>IFERROR(VLOOKUP($B103,MMWR_TRAD_AGG_STATE_PEN[],L$1,0),"ERROR")</f>
        <v>4</v>
      </c>
      <c r="M103" s="114">
        <f t="shared" si="14"/>
        <v>1</v>
      </c>
      <c r="N103" s="111">
        <f>IFERROR(VLOOKUP($B103,MMWR_TRAD_AGG_STATE_PEN[],N$1,0),"ERROR")</f>
        <v>31</v>
      </c>
      <c r="O103" s="112">
        <f>IFERROR(VLOOKUP($B103,MMWR_TRAD_AGG_STATE_PEN[],O$1,0),"ERROR")</f>
        <v>7</v>
      </c>
      <c r="P103" s="114">
        <f t="shared" si="15"/>
        <v>0.22580645161290322</v>
      </c>
      <c r="Q103" s="115">
        <f>IFERROR(VLOOKUP($B103,MMWR_TRAD_AGG_STATE_PEN[],Q$1,0),"ERROR")</f>
        <v>77</v>
      </c>
      <c r="R103" s="115">
        <f>IFERROR(VLOOKUP($B103,MMWR_TRAD_AGG_STATE_PEN[],R$1,0),"ERROR")</f>
        <v>29</v>
      </c>
      <c r="S103" s="115">
        <f>IFERROR(VLOOKUP($B103,MMWR_APP_STATE_PEN[],S$1,0),"ERROR")</f>
        <v>144</v>
      </c>
      <c r="T103" s="28"/>
    </row>
    <row r="104" spans="1:20" s="123" customFormat="1" x14ac:dyDescent="0.2">
      <c r="A104" s="28"/>
      <c r="B104" s="127" t="s">
        <v>417</v>
      </c>
      <c r="C104" s="109">
        <f>IFERROR(VLOOKUP($B104,MMWR_TRAD_AGG_STATE_PEN[],C$1,0),"ERROR")</f>
        <v>38</v>
      </c>
      <c r="D104" s="110">
        <f>IFERROR(VLOOKUP($B104,MMWR_TRAD_AGG_STATE_PEN[],D$1,0),"ERROR")</f>
        <v>80.552631578900005</v>
      </c>
      <c r="E104" s="111">
        <f>IFERROR(VLOOKUP($B104,MMWR_TRAD_AGG_STATE_PEN[],E$1,0),"ERROR")</f>
        <v>72</v>
      </c>
      <c r="F104" s="112">
        <f>IFERROR(VLOOKUP($B104,MMWR_TRAD_AGG_STATE_PEN[],F$1,0),"ERROR")</f>
        <v>5</v>
      </c>
      <c r="G104" s="113">
        <f t="shared" si="12"/>
        <v>6.9444444444444448E-2</v>
      </c>
      <c r="H104" s="111">
        <f>IFERROR(VLOOKUP($B104,MMWR_TRAD_AGG_STATE_PEN[],H$1,0),"ERROR")</f>
        <v>77</v>
      </c>
      <c r="I104" s="112">
        <f>IFERROR(VLOOKUP($B104,MMWR_TRAD_AGG_STATE_PEN[],I$1,0),"ERROR")</f>
        <v>9</v>
      </c>
      <c r="J104" s="114">
        <f t="shared" si="13"/>
        <v>0.11688311688311688</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134</v>
      </c>
      <c r="R104" s="115">
        <f>IFERROR(VLOOKUP($B104,MMWR_TRAD_AGG_STATE_PEN[],R$1,0),"ERROR")</f>
        <v>22</v>
      </c>
      <c r="S104" s="115">
        <f>IFERROR(VLOOKUP($B104,MMWR_APP_STATE_PEN[],S$1,0),"ERROR")</f>
        <v>4</v>
      </c>
      <c r="T104" s="28"/>
    </row>
    <row r="105" spans="1:20" s="123" customFormat="1" x14ac:dyDescent="0.2">
      <c r="A105" s="28"/>
      <c r="B105" s="127" t="s">
        <v>411</v>
      </c>
      <c r="C105" s="109">
        <f>IFERROR(VLOOKUP($B105,MMWR_TRAD_AGG_STATE_PEN[],C$1,0),"ERROR")</f>
        <v>238</v>
      </c>
      <c r="D105" s="110">
        <f>IFERROR(VLOOKUP($B105,MMWR_TRAD_AGG_STATE_PEN[],D$1,0),"ERROR")</f>
        <v>58.680672268899997</v>
      </c>
      <c r="E105" s="111">
        <f>IFERROR(VLOOKUP($B105,MMWR_TRAD_AGG_STATE_PEN[],E$1,0),"ERROR")</f>
        <v>235</v>
      </c>
      <c r="F105" s="112">
        <f>IFERROR(VLOOKUP($B105,MMWR_TRAD_AGG_STATE_PEN[],F$1,0),"ERROR")</f>
        <v>10</v>
      </c>
      <c r="G105" s="113">
        <f t="shared" si="12"/>
        <v>4.2553191489361701E-2</v>
      </c>
      <c r="H105" s="111">
        <f>IFERROR(VLOOKUP($B105,MMWR_TRAD_AGG_STATE_PEN[],H$1,0),"ERROR")</f>
        <v>352</v>
      </c>
      <c r="I105" s="112">
        <f>IFERROR(VLOOKUP($B105,MMWR_TRAD_AGG_STATE_PEN[],I$1,0),"ERROR")</f>
        <v>26</v>
      </c>
      <c r="J105" s="114">
        <f t="shared" si="13"/>
        <v>7.3863636363636367E-2</v>
      </c>
      <c r="K105" s="111">
        <f>IFERROR(VLOOKUP($B105,MMWR_TRAD_AGG_STATE_PEN[],K$1,0),"ERROR")</f>
        <v>1</v>
      </c>
      <c r="L105" s="112">
        <f>IFERROR(VLOOKUP($B105,MMWR_TRAD_AGG_STATE_PEN[],L$1,0),"ERROR")</f>
        <v>1</v>
      </c>
      <c r="M105" s="114">
        <f t="shared" si="14"/>
        <v>1</v>
      </c>
      <c r="N105" s="111">
        <f>IFERROR(VLOOKUP($B105,MMWR_TRAD_AGG_STATE_PEN[],N$1,0),"ERROR")</f>
        <v>29</v>
      </c>
      <c r="O105" s="112">
        <f>IFERROR(VLOOKUP($B105,MMWR_TRAD_AGG_STATE_PEN[],O$1,0),"ERROR")</f>
        <v>13</v>
      </c>
      <c r="P105" s="114">
        <f t="shared" si="15"/>
        <v>0.44827586206896552</v>
      </c>
      <c r="Q105" s="115">
        <f>IFERROR(VLOOKUP($B105,MMWR_TRAD_AGG_STATE_PEN[],Q$1,0),"ERROR")</f>
        <v>612</v>
      </c>
      <c r="R105" s="115">
        <f>IFERROR(VLOOKUP($B105,MMWR_TRAD_AGG_STATE_PEN[],R$1,0),"ERROR")</f>
        <v>73</v>
      </c>
      <c r="S105" s="115">
        <f>IFERROR(VLOOKUP($B105,MMWR_APP_STATE_PEN[],S$1,0),"ERROR")</f>
        <v>76</v>
      </c>
      <c r="T105" s="28"/>
    </row>
    <row r="106" spans="1:20" s="123" customFormat="1" x14ac:dyDescent="0.2">
      <c r="A106" s="28"/>
      <c r="B106" s="127" t="s">
        <v>409</v>
      </c>
      <c r="C106" s="109">
        <f>IFERROR(VLOOKUP($B106,MMWR_TRAD_AGG_STATE_PEN[],C$1,0),"ERROR")</f>
        <v>1053</v>
      </c>
      <c r="D106" s="110">
        <f>IFERROR(VLOOKUP($B106,MMWR_TRAD_AGG_STATE_PEN[],D$1,0),"ERROR")</f>
        <v>67.698005698000003</v>
      </c>
      <c r="E106" s="111">
        <f>IFERROR(VLOOKUP($B106,MMWR_TRAD_AGG_STATE_PEN[],E$1,0),"ERROR")</f>
        <v>1312</v>
      </c>
      <c r="F106" s="112">
        <f>IFERROR(VLOOKUP($B106,MMWR_TRAD_AGG_STATE_PEN[],F$1,0),"ERROR")</f>
        <v>53</v>
      </c>
      <c r="G106" s="113">
        <f t="shared" si="12"/>
        <v>4.0396341463414635E-2</v>
      </c>
      <c r="H106" s="111">
        <f>IFERROR(VLOOKUP($B106,MMWR_TRAD_AGG_STATE_PEN[],H$1,0),"ERROR")</f>
        <v>1691</v>
      </c>
      <c r="I106" s="112">
        <f>IFERROR(VLOOKUP($B106,MMWR_TRAD_AGG_STATE_PEN[],I$1,0),"ERROR")</f>
        <v>153</v>
      </c>
      <c r="J106" s="114">
        <f t="shared" si="13"/>
        <v>9.0479006505026605E-2</v>
      </c>
      <c r="K106" s="111">
        <f>IFERROR(VLOOKUP($B106,MMWR_TRAD_AGG_STATE_PEN[],K$1,0),"ERROR")</f>
        <v>7</v>
      </c>
      <c r="L106" s="112">
        <f>IFERROR(VLOOKUP($B106,MMWR_TRAD_AGG_STATE_PEN[],L$1,0),"ERROR")</f>
        <v>6</v>
      </c>
      <c r="M106" s="114">
        <f t="shared" si="14"/>
        <v>0.8571428571428571</v>
      </c>
      <c r="N106" s="111">
        <f>IFERROR(VLOOKUP($B106,MMWR_TRAD_AGG_STATE_PEN[],N$1,0),"ERROR")</f>
        <v>93</v>
      </c>
      <c r="O106" s="112">
        <f>IFERROR(VLOOKUP($B106,MMWR_TRAD_AGG_STATE_PEN[],O$1,0),"ERROR")</f>
        <v>38</v>
      </c>
      <c r="P106" s="114">
        <f t="shared" si="15"/>
        <v>0.40860215053763443</v>
      </c>
      <c r="Q106" s="115">
        <f>IFERROR(VLOOKUP($B106,MMWR_TRAD_AGG_STATE_PEN[],Q$1,0),"ERROR")</f>
        <v>1627</v>
      </c>
      <c r="R106" s="115">
        <f>IFERROR(VLOOKUP($B106,MMWR_TRAD_AGG_STATE_PEN[],R$1,0),"ERROR")</f>
        <v>503</v>
      </c>
      <c r="S106" s="115">
        <f>IFERROR(VLOOKUP($B106,MMWR_APP_STATE_PEN[],S$1,0),"ERROR")</f>
        <v>281</v>
      </c>
      <c r="T106" s="28"/>
    </row>
    <row r="107" spans="1:20" s="123" customFormat="1" x14ac:dyDescent="0.2">
      <c r="A107" s="28"/>
      <c r="B107" s="127" t="s">
        <v>405</v>
      </c>
      <c r="C107" s="109">
        <f>IFERROR(VLOOKUP($B107,MMWR_TRAD_AGG_STATE_PEN[],C$1,0),"ERROR")</f>
        <v>80</v>
      </c>
      <c r="D107" s="110">
        <f>IFERROR(VLOOKUP($B107,MMWR_TRAD_AGG_STATE_PEN[],D$1,0),"ERROR")</f>
        <v>62.712499999999999</v>
      </c>
      <c r="E107" s="111">
        <f>IFERROR(VLOOKUP($B107,MMWR_TRAD_AGG_STATE_PEN[],E$1,0),"ERROR")</f>
        <v>154</v>
      </c>
      <c r="F107" s="112">
        <f>IFERROR(VLOOKUP($B107,MMWR_TRAD_AGG_STATE_PEN[],F$1,0),"ERROR")</f>
        <v>3</v>
      </c>
      <c r="G107" s="113">
        <f t="shared" si="12"/>
        <v>1.948051948051948E-2</v>
      </c>
      <c r="H107" s="111">
        <f>IFERROR(VLOOKUP($B107,MMWR_TRAD_AGG_STATE_PEN[],H$1,0),"ERROR")</f>
        <v>144</v>
      </c>
      <c r="I107" s="112">
        <f>IFERROR(VLOOKUP($B107,MMWR_TRAD_AGG_STATE_PEN[],I$1,0),"ERROR")</f>
        <v>14</v>
      </c>
      <c r="J107" s="114">
        <f t="shared" si="13"/>
        <v>9.7222222222222224E-2</v>
      </c>
      <c r="K107" s="111">
        <f>IFERROR(VLOOKUP($B107,MMWR_TRAD_AGG_STATE_PEN[],K$1,0),"ERROR")</f>
        <v>0</v>
      </c>
      <c r="L107" s="112">
        <f>IFERROR(VLOOKUP($B107,MMWR_TRAD_AGG_STATE_PEN[],L$1,0),"ERROR")</f>
        <v>0</v>
      </c>
      <c r="M107" s="114" t="str">
        <f t="shared" si="14"/>
        <v>0%</v>
      </c>
      <c r="N107" s="111">
        <f>IFERROR(VLOOKUP($B107,MMWR_TRAD_AGG_STATE_PEN[],N$1,0),"ERROR")</f>
        <v>3</v>
      </c>
      <c r="O107" s="112">
        <f>IFERROR(VLOOKUP($B107,MMWR_TRAD_AGG_STATE_PEN[],O$1,0),"ERROR")</f>
        <v>0</v>
      </c>
      <c r="P107" s="114">
        <f t="shared" si="15"/>
        <v>0</v>
      </c>
      <c r="Q107" s="115">
        <f>IFERROR(VLOOKUP($B107,MMWR_TRAD_AGG_STATE_PEN[],Q$1,0),"ERROR")</f>
        <v>187</v>
      </c>
      <c r="R107" s="115">
        <f>IFERROR(VLOOKUP($B107,MMWR_TRAD_AGG_STATE_PEN[],R$1,0),"ERROR")</f>
        <v>29</v>
      </c>
      <c r="S107" s="115">
        <f>IFERROR(VLOOKUP($B107,MMWR_APP_STATE_PEN[],S$1,0),"ERROR")</f>
        <v>16</v>
      </c>
      <c r="T107" s="28"/>
    </row>
    <row r="108" spans="1:20" s="123" customFormat="1" x14ac:dyDescent="0.2">
      <c r="A108" s="28"/>
      <c r="B108" s="127" t="s">
        <v>420</v>
      </c>
      <c r="C108" s="109">
        <f>IFERROR(VLOOKUP($B108,MMWR_TRAD_AGG_STATE_PEN[],C$1,0),"ERROR")</f>
        <v>18</v>
      </c>
      <c r="D108" s="110">
        <f>IFERROR(VLOOKUP($B108,MMWR_TRAD_AGG_STATE_PEN[],D$1,0),"ERROR")</f>
        <v>54.055555555600002</v>
      </c>
      <c r="E108" s="111">
        <f>IFERROR(VLOOKUP($B108,MMWR_TRAD_AGG_STATE_PEN[],E$1,0),"ERROR")</f>
        <v>26</v>
      </c>
      <c r="F108" s="112">
        <f>IFERROR(VLOOKUP($B108,MMWR_TRAD_AGG_STATE_PEN[],F$1,0),"ERROR")</f>
        <v>0</v>
      </c>
      <c r="G108" s="113">
        <f t="shared" si="12"/>
        <v>0</v>
      </c>
      <c r="H108" s="111">
        <f>IFERROR(VLOOKUP($B108,MMWR_TRAD_AGG_STATE_PEN[],H$1,0),"ERROR")</f>
        <v>37</v>
      </c>
      <c r="I108" s="112">
        <f>IFERROR(VLOOKUP($B108,MMWR_TRAD_AGG_STATE_PEN[],I$1,0),"ERROR")</f>
        <v>6</v>
      </c>
      <c r="J108" s="114">
        <f t="shared" si="13"/>
        <v>0.16216216216216217</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66</v>
      </c>
      <c r="R108" s="115">
        <f>IFERROR(VLOOKUP($B108,MMWR_TRAD_AGG_STATE_PEN[],R$1,0),"ERROR")</f>
        <v>7</v>
      </c>
      <c r="S108" s="115">
        <f>IFERROR(VLOOKUP($B108,MMWR_APP_STATE_PEN[],S$1,0),"ERROR")</f>
        <v>3</v>
      </c>
      <c r="T108" s="28"/>
    </row>
    <row r="109" spans="1:20" s="123" customFormat="1" x14ac:dyDescent="0.2">
      <c r="A109" s="28"/>
      <c r="B109" s="126" t="s">
        <v>403</v>
      </c>
      <c r="C109" s="102">
        <f>IFERROR(VLOOKUP($B109,MMWR_TRAD_AGG_ST_DISTRICT_PEN[],C$1,0),"ERROR")</f>
        <v>1994</v>
      </c>
      <c r="D109" s="103">
        <f>IFERROR(VLOOKUP($B109,MMWR_TRAD_AGG_ST_DISTRICT_PEN[],D$1,0),"ERROR")</f>
        <v>65.565195586800002</v>
      </c>
      <c r="E109" s="102">
        <f>IFERROR(VLOOKUP($B109,MMWR_TRAD_AGG_ST_DISTRICT_PEN[],E$1,0),"ERROR")</f>
        <v>3080</v>
      </c>
      <c r="F109" s="102">
        <f>IFERROR(VLOOKUP($B109,MMWR_TRAD_AGG_ST_DISTRICT_PEN[],F$1,0),"ERROR")</f>
        <v>136</v>
      </c>
      <c r="G109" s="104">
        <f t="shared" si="12"/>
        <v>4.4155844155844157E-2</v>
      </c>
      <c r="H109" s="102">
        <f>IFERROR(VLOOKUP($B109,MMWR_TRAD_AGG_ST_DISTRICT_PEN[],H$1,0),"ERROR")</f>
        <v>3671</v>
      </c>
      <c r="I109" s="102">
        <f>IFERROR(VLOOKUP($B109,MMWR_TRAD_AGG_ST_DISTRICT_PEN[],I$1,0),"ERROR")</f>
        <v>441</v>
      </c>
      <c r="J109" s="104">
        <f t="shared" si="13"/>
        <v>0.12013075456278943</v>
      </c>
      <c r="K109" s="102">
        <f>IFERROR(VLOOKUP($B109,MMWR_TRAD_AGG_ST_DISTRICT_PEN[],K$1,0),"ERROR")</f>
        <v>13</v>
      </c>
      <c r="L109" s="102">
        <f>IFERROR(VLOOKUP($B109,MMWR_TRAD_AGG_ST_DISTRICT_PEN[],L$1,0),"ERROR")</f>
        <v>12</v>
      </c>
      <c r="M109" s="104">
        <f t="shared" si="14"/>
        <v>0.92307692307692313</v>
      </c>
      <c r="N109" s="102">
        <f>IFERROR(VLOOKUP($B109,MMWR_TRAD_AGG_ST_DISTRICT_PEN[],N$1,0),"ERROR")</f>
        <v>188</v>
      </c>
      <c r="O109" s="102">
        <f>IFERROR(VLOOKUP($B109,MMWR_TRAD_AGG_ST_DISTRICT_PEN[],O$1,0),"ERROR")</f>
        <v>80</v>
      </c>
      <c r="P109" s="104">
        <f t="shared" si="15"/>
        <v>0.42553191489361702</v>
      </c>
      <c r="Q109" s="102">
        <f>IFERROR(VLOOKUP($B109,MMWR_TRAD_AGG_ST_DISTRICT_PEN[],Q$1,0),"ERROR")</f>
        <v>3829</v>
      </c>
      <c r="R109" s="106">
        <f>IFERROR(VLOOKUP($B109,MMWR_TRAD_AGG_ST_DISTRICT_PEN[],R$1,0),"ERROR")</f>
        <v>922</v>
      </c>
      <c r="S109" s="106">
        <f>IFERROR(VLOOKUP($B109,MMWR_APP_STATE_PEN[],S$1,0),"ERROR")</f>
        <v>461</v>
      </c>
      <c r="T109" s="28"/>
    </row>
    <row r="110" spans="1:20" s="123" customFormat="1" x14ac:dyDescent="0.2">
      <c r="A110" s="28"/>
      <c r="B110" s="127" t="s">
        <v>423</v>
      </c>
      <c r="C110" s="109">
        <f>IFERROR(VLOOKUP($B110,MMWR_TRAD_AGG_STATE_PEN[],C$1,0),"ERROR")</f>
        <v>14</v>
      </c>
      <c r="D110" s="110">
        <f>IFERROR(VLOOKUP($B110,MMWR_TRAD_AGG_STATE_PEN[],D$1,0),"ERROR")</f>
        <v>53.428571428600002</v>
      </c>
      <c r="E110" s="111">
        <f>IFERROR(VLOOKUP($B110,MMWR_TRAD_AGG_STATE_PEN[],E$1,0),"ERROR")</f>
        <v>14</v>
      </c>
      <c r="F110" s="112">
        <f>IFERROR(VLOOKUP($B110,MMWR_TRAD_AGG_STATE_PEN[],F$1,0),"ERROR")</f>
        <v>1</v>
      </c>
      <c r="G110" s="113">
        <f t="shared" si="12"/>
        <v>7.1428571428571425E-2</v>
      </c>
      <c r="H110" s="111">
        <f>IFERROR(VLOOKUP($B110,MMWR_TRAD_AGG_STATE_PEN[],H$1,0),"ERROR")</f>
        <v>27</v>
      </c>
      <c r="I110" s="112">
        <f>IFERROR(VLOOKUP($B110,MMWR_TRAD_AGG_STATE_PEN[],I$1,0),"ERROR")</f>
        <v>1</v>
      </c>
      <c r="J110" s="114">
        <f t="shared" si="13"/>
        <v>3.7037037037037035E-2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41</v>
      </c>
      <c r="R110" s="115">
        <f>IFERROR(VLOOKUP($B110,MMWR_TRAD_AGG_STATE_PEN[],R$1,0),"ERROR")</f>
        <v>13</v>
      </c>
      <c r="S110" s="115">
        <f>IFERROR(VLOOKUP($B110,MMWR_APP_STATE_PEN[],S$1,0),"ERROR")</f>
        <v>2</v>
      </c>
      <c r="T110" s="28"/>
    </row>
    <row r="111" spans="1:20" s="123" customFormat="1" x14ac:dyDescent="0.2">
      <c r="A111" s="28"/>
      <c r="B111" s="127" t="s">
        <v>425</v>
      </c>
      <c r="C111" s="109">
        <f>IFERROR(VLOOKUP($B111,MMWR_TRAD_AGG_STATE_PEN[],C$1,0),"ERROR")</f>
        <v>259</v>
      </c>
      <c r="D111" s="110">
        <f>IFERROR(VLOOKUP($B111,MMWR_TRAD_AGG_STATE_PEN[],D$1,0),"ERROR")</f>
        <v>64.961389961400002</v>
      </c>
      <c r="E111" s="111">
        <f>IFERROR(VLOOKUP($B111,MMWR_TRAD_AGG_STATE_PEN[],E$1,0),"ERROR")</f>
        <v>415</v>
      </c>
      <c r="F111" s="112">
        <f>IFERROR(VLOOKUP($B111,MMWR_TRAD_AGG_STATE_PEN[],F$1,0),"ERROR")</f>
        <v>26</v>
      </c>
      <c r="G111" s="113">
        <f t="shared" si="12"/>
        <v>6.2650602409638559E-2</v>
      </c>
      <c r="H111" s="111">
        <f>IFERROR(VLOOKUP($B111,MMWR_TRAD_AGG_STATE_PEN[],H$1,0),"ERROR")</f>
        <v>438</v>
      </c>
      <c r="I111" s="112">
        <f>IFERROR(VLOOKUP($B111,MMWR_TRAD_AGG_STATE_PEN[],I$1,0),"ERROR")</f>
        <v>49</v>
      </c>
      <c r="J111" s="114">
        <f t="shared" si="13"/>
        <v>0.11187214611872145</v>
      </c>
      <c r="K111" s="111">
        <f>IFERROR(VLOOKUP($B111,MMWR_TRAD_AGG_STATE_PEN[],K$1,0),"ERROR")</f>
        <v>0</v>
      </c>
      <c r="L111" s="112">
        <f>IFERROR(VLOOKUP($B111,MMWR_TRAD_AGG_STATE_PEN[],L$1,0),"ERROR")</f>
        <v>0</v>
      </c>
      <c r="M111" s="114" t="str">
        <f t="shared" si="14"/>
        <v>0%</v>
      </c>
      <c r="N111" s="111">
        <f>IFERROR(VLOOKUP($B111,MMWR_TRAD_AGG_STATE_PEN[],N$1,0),"ERROR")</f>
        <v>20</v>
      </c>
      <c r="O111" s="112">
        <f>IFERROR(VLOOKUP($B111,MMWR_TRAD_AGG_STATE_PEN[],O$1,0),"ERROR")</f>
        <v>7</v>
      </c>
      <c r="P111" s="114">
        <f t="shared" si="15"/>
        <v>0.35</v>
      </c>
      <c r="Q111" s="115">
        <f>IFERROR(VLOOKUP($B111,MMWR_TRAD_AGG_STATE_PEN[],Q$1,0),"ERROR")</f>
        <v>468</v>
      </c>
      <c r="R111" s="115">
        <f>IFERROR(VLOOKUP($B111,MMWR_TRAD_AGG_STATE_PEN[],R$1,0),"ERROR")</f>
        <v>120</v>
      </c>
      <c r="S111" s="115">
        <f>IFERROR(VLOOKUP($B111,MMWR_APP_STATE_PEN[],S$1,0),"ERROR")</f>
        <v>50</v>
      </c>
      <c r="T111" s="28"/>
    </row>
    <row r="112" spans="1:20" s="123" customFormat="1" x14ac:dyDescent="0.2">
      <c r="A112" s="28"/>
      <c r="B112" s="127" t="s">
        <v>406</v>
      </c>
      <c r="C112" s="109">
        <f>IFERROR(VLOOKUP($B112,MMWR_TRAD_AGG_STATE_PEN[],C$1,0),"ERROR")</f>
        <v>1093</v>
      </c>
      <c r="D112" s="110">
        <f>IFERROR(VLOOKUP($B112,MMWR_TRAD_AGG_STATE_PEN[],D$1,0),"ERROR")</f>
        <v>66.052150045700003</v>
      </c>
      <c r="E112" s="111">
        <f>IFERROR(VLOOKUP($B112,MMWR_TRAD_AGG_STATE_PEN[],E$1,0),"ERROR")</f>
        <v>1712</v>
      </c>
      <c r="F112" s="112">
        <f>IFERROR(VLOOKUP($B112,MMWR_TRAD_AGG_STATE_PEN[],F$1,0),"ERROR")</f>
        <v>76</v>
      </c>
      <c r="G112" s="113">
        <f t="shared" si="12"/>
        <v>4.4392523364485979E-2</v>
      </c>
      <c r="H112" s="111">
        <f>IFERROR(VLOOKUP($B112,MMWR_TRAD_AGG_STATE_PEN[],H$1,0),"ERROR")</f>
        <v>1969</v>
      </c>
      <c r="I112" s="112">
        <f>IFERROR(VLOOKUP($B112,MMWR_TRAD_AGG_STATE_PEN[],I$1,0),"ERROR")</f>
        <v>224</v>
      </c>
      <c r="J112" s="114">
        <f t="shared" si="13"/>
        <v>0.11376333164042661</v>
      </c>
      <c r="K112" s="111">
        <f>IFERROR(VLOOKUP($B112,MMWR_TRAD_AGG_STATE_PEN[],K$1,0),"ERROR")</f>
        <v>10</v>
      </c>
      <c r="L112" s="112">
        <f>IFERROR(VLOOKUP($B112,MMWR_TRAD_AGG_STATE_PEN[],L$1,0),"ERROR")</f>
        <v>9</v>
      </c>
      <c r="M112" s="114">
        <f t="shared" si="14"/>
        <v>0.9</v>
      </c>
      <c r="N112" s="111">
        <f>IFERROR(VLOOKUP($B112,MMWR_TRAD_AGG_STATE_PEN[],N$1,0),"ERROR")</f>
        <v>101</v>
      </c>
      <c r="O112" s="112">
        <f>IFERROR(VLOOKUP($B112,MMWR_TRAD_AGG_STATE_PEN[],O$1,0),"ERROR")</f>
        <v>45</v>
      </c>
      <c r="P112" s="114">
        <f t="shared" si="15"/>
        <v>0.44554455445544555</v>
      </c>
      <c r="Q112" s="115">
        <f>IFERROR(VLOOKUP($B112,MMWR_TRAD_AGG_STATE_PEN[],Q$1,0),"ERROR")</f>
        <v>1683</v>
      </c>
      <c r="R112" s="115">
        <f>IFERROR(VLOOKUP($B112,MMWR_TRAD_AGG_STATE_PEN[],R$1,0),"ERROR")</f>
        <v>482</v>
      </c>
      <c r="S112" s="115">
        <f>IFERROR(VLOOKUP($B112,MMWR_APP_STATE_PEN[],S$1,0),"ERROR")</f>
        <v>259</v>
      </c>
      <c r="T112" s="28"/>
    </row>
    <row r="113" spans="1:20" s="123" customFormat="1" x14ac:dyDescent="0.2">
      <c r="A113" s="28"/>
      <c r="B113" s="127" t="s">
        <v>427</v>
      </c>
      <c r="C113" s="109">
        <f>IFERROR(VLOOKUP($B113,MMWR_TRAD_AGG_STATE_PEN[],C$1,0),"ERROR")</f>
        <v>23</v>
      </c>
      <c r="D113" s="110">
        <f>IFERROR(VLOOKUP($B113,MMWR_TRAD_AGG_STATE_PEN[],D$1,0),"ERROR")</f>
        <v>74.695652173900001</v>
      </c>
      <c r="E113" s="111">
        <f>IFERROR(VLOOKUP($B113,MMWR_TRAD_AGG_STATE_PEN[],E$1,0),"ERROR")</f>
        <v>21</v>
      </c>
      <c r="F113" s="112">
        <f>IFERROR(VLOOKUP($B113,MMWR_TRAD_AGG_STATE_PEN[],F$1,0),"ERROR")</f>
        <v>2</v>
      </c>
      <c r="G113" s="113">
        <f t="shared" si="12"/>
        <v>9.5238095238095233E-2</v>
      </c>
      <c r="H113" s="111">
        <f>IFERROR(VLOOKUP($B113,MMWR_TRAD_AGG_STATE_PEN[],H$1,0),"ERROR")</f>
        <v>47</v>
      </c>
      <c r="I113" s="112">
        <f>IFERROR(VLOOKUP($B113,MMWR_TRAD_AGG_STATE_PEN[],I$1,0),"ERROR")</f>
        <v>6</v>
      </c>
      <c r="J113" s="114">
        <f t="shared" si="13"/>
        <v>0.1276595744680851</v>
      </c>
      <c r="K113" s="111">
        <f>IFERROR(VLOOKUP($B113,MMWR_TRAD_AGG_STATE_PEN[],K$1,0),"ERROR")</f>
        <v>1</v>
      </c>
      <c r="L113" s="112">
        <f>IFERROR(VLOOKUP($B113,MMWR_TRAD_AGG_STATE_PEN[],L$1,0),"ERROR")</f>
        <v>1</v>
      </c>
      <c r="M113" s="114">
        <f t="shared" si="14"/>
        <v>1</v>
      </c>
      <c r="N113" s="111">
        <f>IFERROR(VLOOKUP($B113,MMWR_TRAD_AGG_STATE_PEN[],N$1,0),"ERROR")</f>
        <v>3</v>
      </c>
      <c r="O113" s="112">
        <f>IFERROR(VLOOKUP($B113,MMWR_TRAD_AGG_STATE_PEN[],O$1,0),"ERROR")</f>
        <v>0</v>
      </c>
      <c r="P113" s="114">
        <f t="shared" si="15"/>
        <v>0</v>
      </c>
      <c r="Q113" s="115">
        <f>IFERROR(VLOOKUP($B113,MMWR_TRAD_AGG_STATE_PEN[],Q$1,0),"ERROR")</f>
        <v>98</v>
      </c>
      <c r="R113" s="115">
        <f>IFERROR(VLOOKUP($B113,MMWR_TRAD_AGG_STATE_PEN[],R$1,0),"ERROR")</f>
        <v>14</v>
      </c>
      <c r="S113" s="115">
        <f>IFERROR(VLOOKUP($B113,MMWR_APP_STATE_PEN[],S$1,0),"ERROR")</f>
        <v>9</v>
      </c>
      <c r="T113" s="28"/>
    </row>
    <row r="114" spans="1:20" s="123" customFormat="1" x14ac:dyDescent="0.2">
      <c r="A114" s="28"/>
      <c r="B114" s="127" t="s">
        <v>407</v>
      </c>
      <c r="C114" s="109">
        <f>IFERROR(VLOOKUP($B114,MMWR_TRAD_AGG_STATE_PEN[],C$1,0),"ERROR")</f>
        <v>69</v>
      </c>
      <c r="D114" s="110">
        <f>IFERROR(VLOOKUP($B114,MMWR_TRAD_AGG_STATE_PEN[],D$1,0),"ERROR")</f>
        <v>66.521739130399993</v>
      </c>
      <c r="E114" s="111">
        <f>IFERROR(VLOOKUP($B114,MMWR_TRAD_AGG_STATE_PEN[],E$1,0),"ERROR")</f>
        <v>95</v>
      </c>
      <c r="F114" s="112">
        <f>IFERROR(VLOOKUP($B114,MMWR_TRAD_AGG_STATE_PEN[],F$1,0),"ERROR")</f>
        <v>3</v>
      </c>
      <c r="G114" s="113">
        <f t="shared" si="12"/>
        <v>3.1578947368421054E-2</v>
      </c>
      <c r="H114" s="111">
        <f>IFERROR(VLOOKUP($B114,MMWR_TRAD_AGG_STATE_PEN[],H$1,0),"ERROR")</f>
        <v>125</v>
      </c>
      <c r="I114" s="112">
        <f>IFERROR(VLOOKUP($B114,MMWR_TRAD_AGG_STATE_PEN[],I$1,0),"ERROR")</f>
        <v>15</v>
      </c>
      <c r="J114" s="114">
        <f t="shared" si="13"/>
        <v>0.12</v>
      </c>
      <c r="K114" s="111">
        <f>IFERROR(VLOOKUP($B114,MMWR_TRAD_AGG_STATE_PEN[],K$1,0),"ERROR")</f>
        <v>1</v>
      </c>
      <c r="L114" s="112">
        <f>IFERROR(VLOOKUP($B114,MMWR_TRAD_AGG_STATE_PEN[],L$1,0),"ERROR")</f>
        <v>1</v>
      </c>
      <c r="M114" s="114">
        <f t="shared" si="14"/>
        <v>1</v>
      </c>
      <c r="N114" s="111">
        <f>IFERROR(VLOOKUP($B114,MMWR_TRAD_AGG_STATE_PEN[],N$1,0),"ERROR")</f>
        <v>4</v>
      </c>
      <c r="O114" s="112">
        <f>IFERROR(VLOOKUP($B114,MMWR_TRAD_AGG_STATE_PEN[],O$1,0),"ERROR")</f>
        <v>0</v>
      </c>
      <c r="P114" s="114">
        <f t="shared" si="15"/>
        <v>0</v>
      </c>
      <c r="Q114" s="115">
        <f>IFERROR(VLOOKUP($B114,MMWR_TRAD_AGG_STATE_PEN[],Q$1,0),"ERROR")</f>
        <v>122</v>
      </c>
      <c r="R114" s="115">
        <f>IFERROR(VLOOKUP($B114,MMWR_TRAD_AGG_STATE_PEN[],R$1,0),"ERROR")</f>
        <v>21</v>
      </c>
      <c r="S114" s="115">
        <f>IFERROR(VLOOKUP($B114,MMWR_APP_STATE_PEN[],S$1,0),"ERROR")</f>
        <v>6</v>
      </c>
      <c r="T114" s="28"/>
    </row>
    <row r="115" spans="1:20" s="123" customFormat="1" x14ac:dyDescent="0.2">
      <c r="A115" s="28"/>
      <c r="B115" s="127" t="s">
        <v>412</v>
      </c>
      <c r="C115" s="109">
        <f>IFERROR(VLOOKUP($B115,MMWR_TRAD_AGG_STATE_PEN[],C$1,0),"ERROR")</f>
        <v>107</v>
      </c>
      <c r="D115" s="110">
        <f>IFERROR(VLOOKUP($B115,MMWR_TRAD_AGG_STATE_PEN[],D$1,0),"ERROR")</f>
        <v>71.401869158899999</v>
      </c>
      <c r="E115" s="111">
        <f>IFERROR(VLOOKUP($B115,MMWR_TRAD_AGG_STATE_PEN[],E$1,0),"ERROR")</f>
        <v>129</v>
      </c>
      <c r="F115" s="112">
        <f>IFERROR(VLOOKUP($B115,MMWR_TRAD_AGG_STATE_PEN[],F$1,0),"ERROR")</f>
        <v>2</v>
      </c>
      <c r="G115" s="113">
        <f t="shared" si="12"/>
        <v>1.5503875968992248E-2</v>
      </c>
      <c r="H115" s="111">
        <f>IFERROR(VLOOKUP($B115,MMWR_TRAD_AGG_STATE_PEN[],H$1,0),"ERROR")</f>
        <v>195</v>
      </c>
      <c r="I115" s="112">
        <f>IFERROR(VLOOKUP($B115,MMWR_TRAD_AGG_STATE_PEN[],I$1,0),"ERROR")</f>
        <v>26</v>
      </c>
      <c r="J115" s="114">
        <f t="shared" si="13"/>
        <v>0.13333333333333333</v>
      </c>
      <c r="K115" s="111">
        <f>IFERROR(VLOOKUP($B115,MMWR_TRAD_AGG_STATE_PEN[],K$1,0),"ERROR")</f>
        <v>0</v>
      </c>
      <c r="L115" s="112">
        <f>IFERROR(VLOOKUP($B115,MMWR_TRAD_AGG_STATE_PEN[],L$1,0),"ERROR")</f>
        <v>0</v>
      </c>
      <c r="M115" s="114" t="str">
        <f t="shared" si="14"/>
        <v>0%</v>
      </c>
      <c r="N115" s="111">
        <f>IFERROR(VLOOKUP($B115,MMWR_TRAD_AGG_STATE_PEN[],N$1,0),"ERROR")</f>
        <v>12</v>
      </c>
      <c r="O115" s="112">
        <f>IFERROR(VLOOKUP($B115,MMWR_TRAD_AGG_STATE_PEN[],O$1,0),"ERROR")</f>
        <v>8</v>
      </c>
      <c r="P115" s="114">
        <f t="shared" si="15"/>
        <v>0.66666666666666663</v>
      </c>
      <c r="Q115" s="115">
        <f>IFERROR(VLOOKUP($B115,MMWR_TRAD_AGG_STATE_PEN[],Q$1,0),"ERROR")</f>
        <v>212</v>
      </c>
      <c r="R115" s="115">
        <f>IFERROR(VLOOKUP($B115,MMWR_TRAD_AGG_STATE_PEN[],R$1,0),"ERROR")</f>
        <v>42</v>
      </c>
      <c r="S115" s="115">
        <f>IFERROR(VLOOKUP($B115,MMWR_APP_STATE_PEN[],S$1,0),"ERROR")</f>
        <v>29</v>
      </c>
      <c r="T115" s="28"/>
    </row>
    <row r="116" spans="1:20" s="123" customFormat="1" x14ac:dyDescent="0.2">
      <c r="A116" s="28"/>
      <c r="B116" s="127" t="s">
        <v>404</v>
      </c>
      <c r="C116" s="109">
        <f>IFERROR(VLOOKUP($B116,MMWR_TRAD_AGG_STATE_PEN[],C$1,0),"ERROR")</f>
        <v>67</v>
      </c>
      <c r="D116" s="110">
        <f>IFERROR(VLOOKUP($B116,MMWR_TRAD_AGG_STATE_PEN[],D$1,0),"ERROR")</f>
        <v>55.895522388099998</v>
      </c>
      <c r="E116" s="111">
        <f>IFERROR(VLOOKUP($B116,MMWR_TRAD_AGG_STATE_PEN[],E$1,0),"ERROR")</f>
        <v>122</v>
      </c>
      <c r="F116" s="112">
        <f>IFERROR(VLOOKUP($B116,MMWR_TRAD_AGG_STATE_PEN[],F$1,0),"ERROR")</f>
        <v>5</v>
      </c>
      <c r="G116" s="113">
        <f t="shared" si="12"/>
        <v>4.0983606557377046E-2</v>
      </c>
      <c r="H116" s="111">
        <f>IFERROR(VLOOKUP($B116,MMWR_TRAD_AGG_STATE_PEN[],H$1,0),"ERROR")</f>
        <v>151</v>
      </c>
      <c r="I116" s="112">
        <f>IFERROR(VLOOKUP($B116,MMWR_TRAD_AGG_STATE_PEN[],I$1,0),"ERROR")</f>
        <v>14</v>
      </c>
      <c r="J116" s="114">
        <f t="shared" si="13"/>
        <v>9.2715231788079472E-2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5</v>
      </c>
      <c r="P116" s="114">
        <f t="shared" si="15"/>
        <v>1</v>
      </c>
      <c r="Q116" s="115">
        <f>IFERROR(VLOOKUP($B116,MMWR_TRAD_AGG_STATE_PEN[],Q$1,0),"ERROR")</f>
        <v>297</v>
      </c>
      <c r="R116" s="115">
        <f>IFERROR(VLOOKUP($B116,MMWR_TRAD_AGG_STATE_PEN[],R$1,0),"ERROR")</f>
        <v>28</v>
      </c>
      <c r="S116" s="115">
        <f>IFERROR(VLOOKUP($B116,MMWR_APP_STATE_PEN[],S$1,0),"ERROR")</f>
        <v>15</v>
      </c>
      <c r="T116" s="28"/>
    </row>
    <row r="117" spans="1:20" s="123" customFormat="1" x14ac:dyDescent="0.2">
      <c r="A117" s="28"/>
      <c r="B117" s="127" t="s">
        <v>408</v>
      </c>
      <c r="C117" s="109">
        <f>IFERROR(VLOOKUP($B117,MMWR_TRAD_AGG_STATE_PEN[],C$1,0),"ERROR")</f>
        <v>168</v>
      </c>
      <c r="D117" s="110">
        <f>IFERROR(VLOOKUP($B117,MMWR_TRAD_AGG_STATE_PEN[],D$1,0),"ERROR")</f>
        <v>64.369047619</v>
      </c>
      <c r="E117" s="111">
        <f>IFERROR(VLOOKUP($B117,MMWR_TRAD_AGG_STATE_PEN[],E$1,0),"ERROR")</f>
        <v>226</v>
      </c>
      <c r="F117" s="112">
        <f>IFERROR(VLOOKUP($B117,MMWR_TRAD_AGG_STATE_PEN[],F$1,0),"ERROR")</f>
        <v>6</v>
      </c>
      <c r="G117" s="113">
        <f t="shared" si="12"/>
        <v>2.6548672566371681E-2</v>
      </c>
      <c r="H117" s="111">
        <f>IFERROR(VLOOKUP($B117,MMWR_TRAD_AGG_STATE_PEN[],H$1,0),"ERROR")</f>
        <v>302</v>
      </c>
      <c r="I117" s="112">
        <f>IFERROR(VLOOKUP($B117,MMWR_TRAD_AGG_STATE_PEN[],I$1,0),"ERROR")</f>
        <v>40</v>
      </c>
      <c r="J117" s="114">
        <f t="shared" si="13"/>
        <v>0.13245033112582782</v>
      </c>
      <c r="K117" s="111">
        <f>IFERROR(VLOOKUP($B117,MMWR_TRAD_AGG_STATE_PEN[],K$1,0),"ERROR")</f>
        <v>1</v>
      </c>
      <c r="L117" s="112">
        <f>IFERROR(VLOOKUP($B117,MMWR_TRAD_AGG_STATE_PEN[],L$1,0),"ERROR")</f>
        <v>1</v>
      </c>
      <c r="M117" s="114">
        <f t="shared" si="14"/>
        <v>1</v>
      </c>
      <c r="N117" s="111">
        <f>IFERROR(VLOOKUP($B117,MMWR_TRAD_AGG_STATE_PEN[],N$1,0),"ERROR")</f>
        <v>15</v>
      </c>
      <c r="O117" s="112">
        <f>IFERROR(VLOOKUP($B117,MMWR_TRAD_AGG_STATE_PEN[],O$1,0),"ERROR")</f>
        <v>6</v>
      </c>
      <c r="P117" s="114">
        <f t="shared" si="15"/>
        <v>0.4</v>
      </c>
      <c r="Q117" s="115">
        <f>IFERROR(VLOOKUP($B117,MMWR_TRAD_AGG_STATE_PEN[],Q$1,0),"ERROR")</f>
        <v>387</v>
      </c>
      <c r="R117" s="115">
        <f>IFERROR(VLOOKUP($B117,MMWR_TRAD_AGG_STATE_PEN[],R$1,0),"ERROR")</f>
        <v>79</v>
      </c>
      <c r="S117" s="115">
        <f>IFERROR(VLOOKUP($B117,MMWR_APP_STATE_PEN[],S$1,0),"ERROR")</f>
        <v>38</v>
      </c>
      <c r="T117" s="28"/>
    </row>
    <row r="118" spans="1:20" s="123" customFormat="1" x14ac:dyDescent="0.2">
      <c r="A118" s="28"/>
      <c r="B118" s="127" t="s">
        <v>80</v>
      </c>
      <c r="C118" s="109">
        <f>IFERROR(VLOOKUP($B118,MMWR_TRAD_AGG_STATE_PEN[],C$1,0),"ERROR")</f>
        <v>194</v>
      </c>
      <c r="D118" s="110">
        <f>IFERROR(VLOOKUP($B118,MMWR_TRAD_AGG_STATE_PEN[],D$1,0),"ERROR")</f>
        <v>64.237113402099993</v>
      </c>
      <c r="E118" s="111">
        <f>IFERROR(VLOOKUP($B118,MMWR_TRAD_AGG_STATE_PEN[],E$1,0),"ERROR")</f>
        <v>346</v>
      </c>
      <c r="F118" s="112">
        <f>IFERROR(VLOOKUP($B118,MMWR_TRAD_AGG_STATE_PEN[],F$1,0),"ERROR")</f>
        <v>15</v>
      </c>
      <c r="G118" s="113">
        <f t="shared" si="12"/>
        <v>4.3352601156069363E-2</v>
      </c>
      <c r="H118" s="111">
        <f>IFERROR(VLOOKUP($B118,MMWR_TRAD_AGG_STATE_PEN[],H$1,0),"ERROR")</f>
        <v>417</v>
      </c>
      <c r="I118" s="112">
        <f>IFERROR(VLOOKUP($B118,MMWR_TRAD_AGG_STATE_PEN[],I$1,0),"ERROR")</f>
        <v>66</v>
      </c>
      <c r="J118" s="114">
        <f t="shared" si="13"/>
        <v>0.15827338129496402</v>
      </c>
      <c r="K118" s="111">
        <f>IFERROR(VLOOKUP($B118,MMWR_TRAD_AGG_STATE_PEN[],K$1,0),"ERROR")</f>
        <v>0</v>
      </c>
      <c r="L118" s="112">
        <f>IFERROR(VLOOKUP($B118,MMWR_TRAD_AGG_STATE_PEN[],L$1,0),"ERROR")</f>
        <v>0</v>
      </c>
      <c r="M118" s="114" t="str">
        <f t="shared" si="14"/>
        <v>0%</v>
      </c>
      <c r="N118" s="111">
        <f>IFERROR(VLOOKUP($B118,MMWR_TRAD_AGG_STATE_PEN[],N$1,0),"ERROR")</f>
        <v>26</v>
      </c>
      <c r="O118" s="112">
        <f>IFERROR(VLOOKUP($B118,MMWR_TRAD_AGG_STATE_PEN[],O$1,0),"ERROR")</f>
        <v>8</v>
      </c>
      <c r="P118" s="114">
        <f t="shared" si="15"/>
        <v>0.30769230769230771</v>
      </c>
      <c r="Q118" s="115">
        <f>IFERROR(VLOOKUP($B118,MMWR_TRAD_AGG_STATE_PEN[],Q$1,0),"ERROR")</f>
        <v>521</v>
      </c>
      <c r="R118" s="115">
        <f>IFERROR(VLOOKUP($B118,MMWR_TRAD_AGG_STATE_PEN[],R$1,0),"ERROR")</f>
        <v>123</v>
      </c>
      <c r="S118" s="115">
        <f>IFERROR(VLOOKUP($B118,MMWR_APP_STATE_PEN[],S$1,0),"ERROR")</f>
        <v>53</v>
      </c>
      <c r="T118" s="28"/>
    </row>
    <row r="119" spans="1:20" s="123" customFormat="1" x14ac:dyDescent="0.2">
      <c r="A119" s="28"/>
      <c r="B119" s="126" t="s">
        <v>379</v>
      </c>
      <c r="C119" s="102">
        <f>IFERROR(VLOOKUP($B119,MMWR_TRAD_AGG_ST_DISTRICT_PEN[],C$1,0),"ERROR")</f>
        <v>7858</v>
      </c>
      <c r="D119" s="103">
        <f>IFERROR(VLOOKUP($B119,MMWR_TRAD_AGG_ST_DISTRICT_PEN[],D$1,0),"ERROR")</f>
        <v>100.20959531690001</v>
      </c>
      <c r="E119" s="102">
        <f>IFERROR(VLOOKUP($B119,MMWR_TRAD_AGG_ST_DISTRICT_PEN[],E$1,0),"ERROR")</f>
        <v>8612</v>
      </c>
      <c r="F119" s="102">
        <f>IFERROR(VLOOKUP($B119,MMWR_TRAD_AGG_ST_DISTRICT_PEN[],F$1,0),"ERROR")</f>
        <v>1337</v>
      </c>
      <c r="G119" s="104">
        <f t="shared" si="12"/>
        <v>0.15524849047840222</v>
      </c>
      <c r="H119" s="102">
        <f>IFERROR(VLOOKUP($B119,MMWR_TRAD_AGG_ST_DISTRICT_PEN[],H$1,0),"ERROR")</f>
        <v>10357</v>
      </c>
      <c r="I119" s="102">
        <f>IFERROR(VLOOKUP($B119,MMWR_TRAD_AGG_ST_DISTRICT_PEN[],I$1,0),"ERROR")</f>
        <v>3293</v>
      </c>
      <c r="J119" s="104">
        <f t="shared" si="13"/>
        <v>0.31794921309259438</v>
      </c>
      <c r="K119" s="102">
        <f>IFERROR(VLOOKUP($B119,MMWR_TRAD_AGG_ST_DISTRICT_PEN[],K$1,0),"ERROR")</f>
        <v>27</v>
      </c>
      <c r="L119" s="102">
        <f>IFERROR(VLOOKUP($B119,MMWR_TRAD_AGG_ST_DISTRICT_PEN[],L$1,0),"ERROR")</f>
        <v>24</v>
      </c>
      <c r="M119" s="104">
        <f t="shared" si="14"/>
        <v>0.88888888888888884</v>
      </c>
      <c r="N119" s="102">
        <f>IFERROR(VLOOKUP($B119,MMWR_TRAD_AGG_ST_DISTRICT_PEN[],N$1,0),"ERROR")</f>
        <v>446</v>
      </c>
      <c r="O119" s="102">
        <f>IFERROR(VLOOKUP($B119,MMWR_TRAD_AGG_ST_DISTRICT_PEN[],O$1,0),"ERROR")</f>
        <v>129</v>
      </c>
      <c r="P119" s="104">
        <f t="shared" si="15"/>
        <v>0.28923766816143498</v>
      </c>
      <c r="Q119" s="102">
        <f>IFERROR(VLOOKUP($B119,MMWR_TRAD_AGG_ST_DISTRICT_PEN[],Q$1,0),"ERROR")</f>
        <v>1302</v>
      </c>
      <c r="R119" s="106">
        <f>IFERROR(VLOOKUP($B119,MMWR_TRAD_AGG_ST_DISTRICT_PEN[],R$1,0),"ERROR")</f>
        <v>1554</v>
      </c>
      <c r="S119" s="106">
        <f>IFERROR(VLOOKUP($B119,MMWR_APP_STATE_PEN[],S$1,0),"ERROR")</f>
        <v>1373</v>
      </c>
      <c r="T119" s="28"/>
    </row>
    <row r="120" spans="1:20" s="123" customFormat="1" x14ac:dyDescent="0.2">
      <c r="A120" s="28"/>
      <c r="B120" s="127" t="s">
        <v>387</v>
      </c>
      <c r="C120" s="109">
        <f>IFERROR(VLOOKUP($B120,MMWR_TRAD_AGG_STATE_PEN[],C$1,0),"ERROR")</f>
        <v>571</v>
      </c>
      <c r="D120" s="110">
        <f>IFERROR(VLOOKUP($B120,MMWR_TRAD_AGG_STATE_PEN[],D$1,0),"ERROR")</f>
        <v>59.436077057799999</v>
      </c>
      <c r="E120" s="111">
        <f>IFERROR(VLOOKUP($B120,MMWR_TRAD_AGG_STATE_PEN[],E$1,0),"ERROR")</f>
        <v>791</v>
      </c>
      <c r="F120" s="112">
        <f>IFERROR(VLOOKUP($B120,MMWR_TRAD_AGG_STATE_PEN[],F$1,0),"ERROR")</f>
        <v>81</v>
      </c>
      <c r="G120" s="113">
        <f t="shared" si="12"/>
        <v>0.10240202275600506</v>
      </c>
      <c r="H120" s="111">
        <f>IFERROR(VLOOKUP($B120,MMWR_TRAD_AGG_STATE_PEN[],H$1,0),"ERROR")</f>
        <v>843</v>
      </c>
      <c r="I120" s="112">
        <f>IFERROR(VLOOKUP($B120,MMWR_TRAD_AGG_STATE_PEN[],I$1,0),"ERROR")</f>
        <v>74</v>
      </c>
      <c r="J120" s="114">
        <f t="shared" si="13"/>
        <v>8.7781731909845784E-2</v>
      </c>
      <c r="K120" s="111">
        <f>IFERROR(VLOOKUP($B120,MMWR_TRAD_AGG_STATE_PEN[],K$1,0),"ERROR")</f>
        <v>3</v>
      </c>
      <c r="L120" s="112">
        <f>IFERROR(VLOOKUP($B120,MMWR_TRAD_AGG_STATE_PEN[],L$1,0),"ERROR")</f>
        <v>3</v>
      </c>
      <c r="M120" s="114">
        <f t="shared" si="14"/>
        <v>1</v>
      </c>
      <c r="N120" s="111">
        <f>IFERROR(VLOOKUP($B120,MMWR_TRAD_AGG_STATE_PEN[],N$1,0),"ERROR")</f>
        <v>52</v>
      </c>
      <c r="O120" s="112">
        <f>IFERROR(VLOOKUP($B120,MMWR_TRAD_AGG_STATE_PEN[],O$1,0),"ERROR")</f>
        <v>13</v>
      </c>
      <c r="P120" s="114">
        <f t="shared" si="15"/>
        <v>0.25</v>
      </c>
      <c r="Q120" s="115">
        <f>IFERROR(VLOOKUP($B120,MMWR_TRAD_AGG_STATE_PEN[],Q$1,0),"ERROR")</f>
        <v>141</v>
      </c>
      <c r="R120" s="115">
        <f>IFERROR(VLOOKUP($B120,MMWR_TRAD_AGG_STATE_PEN[],R$1,0),"ERROR")</f>
        <v>110</v>
      </c>
      <c r="S120" s="115">
        <f>IFERROR(VLOOKUP($B120,MMWR_APP_STATE_PEN[],S$1,0),"ERROR")</f>
        <v>250</v>
      </c>
      <c r="T120" s="28"/>
    </row>
    <row r="121" spans="1:20" s="123" customFormat="1" x14ac:dyDescent="0.2">
      <c r="A121" s="28"/>
      <c r="B121" s="127" t="s">
        <v>424</v>
      </c>
      <c r="C121" s="109">
        <f>IFERROR(VLOOKUP($B121,MMWR_TRAD_AGG_STATE_PEN[],C$1,0),"ERROR")</f>
        <v>2701</v>
      </c>
      <c r="D121" s="110">
        <f>IFERROR(VLOOKUP($B121,MMWR_TRAD_AGG_STATE_PEN[],D$1,0),"ERROR")</f>
        <v>98.320621991899998</v>
      </c>
      <c r="E121" s="111">
        <f>IFERROR(VLOOKUP($B121,MMWR_TRAD_AGG_STATE_PEN[],E$1,0),"ERROR")</f>
        <v>3404</v>
      </c>
      <c r="F121" s="112">
        <f>IFERROR(VLOOKUP($B121,MMWR_TRAD_AGG_STATE_PEN[],F$1,0),"ERROR")</f>
        <v>567</v>
      </c>
      <c r="G121" s="113">
        <f t="shared" si="12"/>
        <v>0.16656874265569918</v>
      </c>
      <c r="H121" s="111">
        <f>IFERROR(VLOOKUP($B121,MMWR_TRAD_AGG_STATE_PEN[],H$1,0),"ERROR")</f>
        <v>3570</v>
      </c>
      <c r="I121" s="112">
        <f>IFERROR(VLOOKUP($B121,MMWR_TRAD_AGG_STATE_PEN[],I$1,0),"ERROR")</f>
        <v>1141</v>
      </c>
      <c r="J121" s="114">
        <f t="shared" si="13"/>
        <v>0.31960784313725488</v>
      </c>
      <c r="K121" s="111">
        <f>IFERROR(VLOOKUP($B121,MMWR_TRAD_AGG_STATE_PEN[],K$1,0),"ERROR")</f>
        <v>17</v>
      </c>
      <c r="L121" s="112">
        <f>IFERROR(VLOOKUP($B121,MMWR_TRAD_AGG_STATE_PEN[],L$1,0),"ERROR")</f>
        <v>15</v>
      </c>
      <c r="M121" s="114">
        <f t="shared" si="14"/>
        <v>0.88235294117647056</v>
      </c>
      <c r="N121" s="111">
        <f>IFERROR(VLOOKUP($B121,MMWR_TRAD_AGG_STATE_PEN[],N$1,0),"ERROR")</f>
        <v>135</v>
      </c>
      <c r="O121" s="112">
        <f>IFERROR(VLOOKUP($B121,MMWR_TRAD_AGG_STATE_PEN[],O$1,0),"ERROR")</f>
        <v>43</v>
      </c>
      <c r="P121" s="114">
        <f t="shared" si="15"/>
        <v>0.31851851851851853</v>
      </c>
      <c r="Q121" s="115">
        <f>IFERROR(VLOOKUP($B121,MMWR_TRAD_AGG_STATE_PEN[],Q$1,0),"ERROR")</f>
        <v>462</v>
      </c>
      <c r="R121" s="115">
        <f>IFERROR(VLOOKUP($B121,MMWR_TRAD_AGG_STATE_PEN[],R$1,0),"ERROR")</f>
        <v>587</v>
      </c>
      <c r="S121" s="115">
        <f>IFERROR(VLOOKUP($B121,MMWR_APP_STATE_PEN[],S$1,0),"ERROR")</f>
        <v>350</v>
      </c>
      <c r="T121" s="28"/>
    </row>
    <row r="122" spans="1:20" s="123" customFormat="1" x14ac:dyDescent="0.2">
      <c r="A122" s="28"/>
      <c r="B122" s="127" t="s">
        <v>380</v>
      </c>
      <c r="C122" s="109">
        <f>IFERROR(VLOOKUP($B122,MMWR_TRAD_AGG_STATE_PEN[],C$1,0),"ERROR")</f>
        <v>1269</v>
      </c>
      <c r="D122" s="110">
        <f>IFERROR(VLOOKUP($B122,MMWR_TRAD_AGG_STATE_PEN[],D$1,0),"ERROR")</f>
        <v>105.2616233255</v>
      </c>
      <c r="E122" s="111">
        <f>IFERROR(VLOOKUP($B122,MMWR_TRAD_AGG_STATE_PEN[],E$1,0),"ERROR")</f>
        <v>1545</v>
      </c>
      <c r="F122" s="112">
        <f>IFERROR(VLOOKUP($B122,MMWR_TRAD_AGG_STATE_PEN[],F$1,0),"ERROR")</f>
        <v>271</v>
      </c>
      <c r="G122" s="113">
        <f t="shared" si="12"/>
        <v>0.17540453074433657</v>
      </c>
      <c r="H122" s="111">
        <f>IFERROR(VLOOKUP($B122,MMWR_TRAD_AGG_STATE_PEN[],H$1,0),"ERROR")</f>
        <v>1726</v>
      </c>
      <c r="I122" s="112">
        <f>IFERROR(VLOOKUP($B122,MMWR_TRAD_AGG_STATE_PEN[],I$1,0),"ERROR")</f>
        <v>633</v>
      </c>
      <c r="J122" s="114">
        <f t="shared" si="13"/>
        <v>0.3667439165701043</v>
      </c>
      <c r="K122" s="111">
        <f>IFERROR(VLOOKUP($B122,MMWR_TRAD_AGG_STATE_PEN[],K$1,0),"ERROR")</f>
        <v>2</v>
      </c>
      <c r="L122" s="112">
        <f>IFERROR(VLOOKUP($B122,MMWR_TRAD_AGG_STATE_PEN[],L$1,0),"ERROR")</f>
        <v>2</v>
      </c>
      <c r="M122" s="114">
        <f t="shared" si="14"/>
        <v>1</v>
      </c>
      <c r="N122" s="111">
        <f>IFERROR(VLOOKUP($B122,MMWR_TRAD_AGG_STATE_PEN[],N$1,0),"ERROR")</f>
        <v>71</v>
      </c>
      <c r="O122" s="112">
        <f>IFERROR(VLOOKUP($B122,MMWR_TRAD_AGG_STATE_PEN[],O$1,0),"ERROR")</f>
        <v>23</v>
      </c>
      <c r="P122" s="114">
        <f t="shared" si="15"/>
        <v>0.323943661971831</v>
      </c>
      <c r="Q122" s="115">
        <f>IFERROR(VLOOKUP($B122,MMWR_TRAD_AGG_STATE_PEN[],Q$1,0),"ERROR")</f>
        <v>222</v>
      </c>
      <c r="R122" s="115">
        <f>IFERROR(VLOOKUP($B122,MMWR_TRAD_AGG_STATE_PEN[],R$1,0),"ERROR")</f>
        <v>390</v>
      </c>
      <c r="S122" s="115">
        <f>IFERROR(VLOOKUP($B122,MMWR_APP_STATE_PEN[],S$1,0),"ERROR")</f>
        <v>217</v>
      </c>
      <c r="T122" s="28"/>
    </row>
    <row r="123" spans="1:20" s="123" customFormat="1" x14ac:dyDescent="0.2">
      <c r="A123" s="28"/>
      <c r="B123" s="127" t="s">
        <v>392</v>
      </c>
      <c r="C123" s="109">
        <f>IFERROR(VLOOKUP($B123,MMWR_TRAD_AGG_STATE_PEN[],C$1,0),"ERROR")</f>
        <v>229</v>
      </c>
      <c r="D123" s="110">
        <f>IFERROR(VLOOKUP($B123,MMWR_TRAD_AGG_STATE_PEN[],D$1,0),"ERROR")</f>
        <v>69.978165938900005</v>
      </c>
      <c r="E123" s="111">
        <f>IFERROR(VLOOKUP($B123,MMWR_TRAD_AGG_STATE_PEN[],E$1,0),"ERROR")</f>
        <v>432</v>
      </c>
      <c r="F123" s="112">
        <f>IFERROR(VLOOKUP($B123,MMWR_TRAD_AGG_STATE_PEN[],F$1,0),"ERROR")</f>
        <v>46</v>
      </c>
      <c r="G123" s="113">
        <f t="shared" si="12"/>
        <v>0.10648148148148148</v>
      </c>
      <c r="H123" s="111">
        <f>IFERROR(VLOOKUP($B123,MMWR_TRAD_AGG_STATE_PEN[],H$1,0),"ERROR")</f>
        <v>413</v>
      </c>
      <c r="I123" s="112">
        <f>IFERROR(VLOOKUP($B123,MMWR_TRAD_AGG_STATE_PEN[],I$1,0),"ERROR")</f>
        <v>51</v>
      </c>
      <c r="J123" s="114">
        <f t="shared" si="13"/>
        <v>0.12348668280871671</v>
      </c>
      <c r="K123" s="111">
        <f>IFERROR(VLOOKUP($B123,MMWR_TRAD_AGG_STATE_PEN[],K$1,0),"ERROR")</f>
        <v>2</v>
      </c>
      <c r="L123" s="112">
        <f>IFERROR(VLOOKUP($B123,MMWR_TRAD_AGG_STATE_PEN[],L$1,0),"ERROR")</f>
        <v>1</v>
      </c>
      <c r="M123" s="114">
        <f t="shared" si="14"/>
        <v>0.5</v>
      </c>
      <c r="N123" s="111">
        <f>IFERROR(VLOOKUP($B123,MMWR_TRAD_AGG_STATE_PEN[],N$1,0),"ERROR")</f>
        <v>54</v>
      </c>
      <c r="O123" s="112">
        <f>IFERROR(VLOOKUP($B123,MMWR_TRAD_AGG_STATE_PEN[],O$1,0),"ERROR")</f>
        <v>11</v>
      </c>
      <c r="P123" s="114">
        <f t="shared" si="15"/>
        <v>0.20370370370370369</v>
      </c>
      <c r="Q123" s="115">
        <f>IFERROR(VLOOKUP($B123,MMWR_TRAD_AGG_STATE_PEN[],Q$1,0),"ERROR")</f>
        <v>83</v>
      </c>
      <c r="R123" s="115">
        <f>IFERROR(VLOOKUP($B123,MMWR_TRAD_AGG_STATE_PEN[],R$1,0),"ERROR")</f>
        <v>64</v>
      </c>
      <c r="S123" s="115">
        <f>IFERROR(VLOOKUP($B123,MMWR_APP_STATE_PEN[],S$1,0),"ERROR")</f>
        <v>102</v>
      </c>
      <c r="T123" s="28"/>
    </row>
    <row r="124" spans="1:20" s="123" customFormat="1" x14ac:dyDescent="0.2">
      <c r="A124" s="28"/>
      <c r="B124" s="127" t="s">
        <v>426</v>
      </c>
      <c r="C124" s="109">
        <f>IFERROR(VLOOKUP($B124,MMWR_TRAD_AGG_STATE_PEN[],C$1,0),"ERROR")</f>
        <v>1688</v>
      </c>
      <c r="D124" s="110">
        <f>IFERROR(VLOOKUP($B124,MMWR_TRAD_AGG_STATE_PEN[],D$1,0),"ERROR")</f>
        <v>122.1457345972</v>
      </c>
      <c r="E124" s="111">
        <f>IFERROR(VLOOKUP($B124,MMWR_TRAD_AGG_STATE_PEN[],E$1,0),"ERROR")</f>
        <v>699</v>
      </c>
      <c r="F124" s="112">
        <f>IFERROR(VLOOKUP($B124,MMWR_TRAD_AGG_STATE_PEN[],F$1,0),"ERROR")</f>
        <v>127</v>
      </c>
      <c r="G124" s="113">
        <f t="shared" si="12"/>
        <v>0.18168812589413447</v>
      </c>
      <c r="H124" s="111">
        <f>IFERROR(VLOOKUP($B124,MMWR_TRAD_AGG_STATE_PEN[],H$1,0),"ERROR")</f>
        <v>1930</v>
      </c>
      <c r="I124" s="112">
        <f>IFERROR(VLOOKUP($B124,MMWR_TRAD_AGG_STATE_PEN[],I$1,0),"ERROR")</f>
        <v>865</v>
      </c>
      <c r="J124" s="114">
        <f t="shared" si="13"/>
        <v>0.44818652849740931</v>
      </c>
      <c r="K124" s="111">
        <f>IFERROR(VLOOKUP($B124,MMWR_TRAD_AGG_STATE_PEN[],K$1,0),"ERROR")</f>
        <v>2</v>
      </c>
      <c r="L124" s="112">
        <f>IFERROR(VLOOKUP($B124,MMWR_TRAD_AGG_STATE_PEN[],L$1,0),"ERROR")</f>
        <v>2</v>
      </c>
      <c r="M124" s="114">
        <f t="shared" si="14"/>
        <v>1</v>
      </c>
      <c r="N124" s="111">
        <f>IFERROR(VLOOKUP($B124,MMWR_TRAD_AGG_STATE_PEN[],N$1,0),"ERROR")</f>
        <v>14</v>
      </c>
      <c r="O124" s="112">
        <f>IFERROR(VLOOKUP($B124,MMWR_TRAD_AGG_STATE_PEN[],O$1,0),"ERROR")</f>
        <v>8</v>
      </c>
      <c r="P124" s="114">
        <f t="shared" si="15"/>
        <v>0.5714285714285714</v>
      </c>
      <c r="Q124" s="115">
        <f>IFERROR(VLOOKUP($B124,MMWR_TRAD_AGG_STATE_PEN[],Q$1,0),"ERROR")</f>
        <v>86</v>
      </c>
      <c r="R124" s="115">
        <f>IFERROR(VLOOKUP($B124,MMWR_TRAD_AGG_STATE_PEN[],R$1,0),"ERROR")</f>
        <v>79</v>
      </c>
      <c r="S124" s="115">
        <f>IFERROR(VLOOKUP($B124,MMWR_APP_STATE_PEN[],S$1,0),"ERROR")</f>
        <v>82</v>
      </c>
      <c r="T124" s="28"/>
    </row>
    <row r="125" spans="1:20" s="123" customFormat="1" x14ac:dyDescent="0.2">
      <c r="A125" s="28"/>
      <c r="B125" s="127" t="s">
        <v>382</v>
      </c>
      <c r="C125" s="109">
        <f>IFERROR(VLOOKUP($B125,MMWR_TRAD_AGG_STATE_PEN[],C$1,0),"ERROR")</f>
        <v>949</v>
      </c>
      <c r="D125" s="110">
        <f>IFERROR(VLOOKUP($B125,MMWR_TRAD_AGG_STATE_PEN[],D$1,0),"ERROR")</f>
        <v>110.2402528978</v>
      </c>
      <c r="E125" s="111">
        <f>IFERROR(VLOOKUP($B125,MMWR_TRAD_AGG_STATE_PEN[],E$1,0),"ERROR")</f>
        <v>977</v>
      </c>
      <c r="F125" s="112">
        <f>IFERROR(VLOOKUP($B125,MMWR_TRAD_AGG_STATE_PEN[],F$1,0),"ERROR")</f>
        <v>170</v>
      </c>
      <c r="G125" s="113">
        <f t="shared" si="12"/>
        <v>0.17400204708290687</v>
      </c>
      <c r="H125" s="111">
        <f>IFERROR(VLOOKUP($B125,MMWR_TRAD_AGG_STATE_PEN[],H$1,0),"ERROR")</f>
        <v>1172</v>
      </c>
      <c r="I125" s="112">
        <f>IFERROR(VLOOKUP($B125,MMWR_TRAD_AGG_STATE_PEN[],I$1,0),"ERROR")</f>
        <v>446</v>
      </c>
      <c r="J125" s="114">
        <f t="shared" si="13"/>
        <v>0.38054607508532423</v>
      </c>
      <c r="K125" s="111">
        <f>IFERROR(VLOOKUP($B125,MMWR_TRAD_AGG_STATE_PEN[],K$1,0),"ERROR")</f>
        <v>0</v>
      </c>
      <c r="L125" s="112">
        <f>IFERROR(VLOOKUP($B125,MMWR_TRAD_AGG_STATE_PEN[],L$1,0),"ERROR")</f>
        <v>0</v>
      </c>
      <c r="M125" s="114" t="str">
        <f t="shared" si="14"/>
        <v>0%</v>
      </c>
      <c r="N125" s="111">
        <f>IFERROR(VLOOKUP($B125,MMWR_TRAD_AGG_STATE_PEN[],N$1,0),"ERROR")</f>
        <v>46</v>
      </c>
      <c r="O125" s="112">
        <f>IFERROR(VLOOKUP($B125,MMWR_TRAD_AGG_STATE_PEN[],O$1,0),"ERROR")</f>
        <v>8</v>
      </c>
      <c r="P125" s="114">
        <f t="shared" si="15"/>
        <v>0.17391304347826086</v>
      </c>
      <c r="Q125" s="115">
        <f>IFERROR(VLOOKUP($B125,MMWR_TRAD_AGG_STATE_PEN[],Q$1,0),"ERROR")</f>
        <v>164</v>
      </c>
      <c r="R125" s="115">
        <f>IFERROR(VLOOKUP($B125,MMWR_TRAD_AGG_STATE_PEN[],R$1,0),"ERROR")</f>
        <v>230</v>
      </c>
      <c r="S125" s="115">
        <f>IFERROR(VLOOKUP($B125,MMWR_APP_STATE_PEN[],S$1,0),"ERROR")</f>
        <v>135</v>
      </c>
      <c r="T125" s="28"/>
    </row>
    <row r="126" spans="1:20" s="123" customFormat="1" x14ac:dyDescent="0.2">
      <c r="A126" s="28"/>
      <c r="B126" s="127" t="s">
        <v>383</v>
      </c>
      <c r="C126" s="109">
        <f>IFERROR(VLOOKUP($B126,MMWR_TRAD_AGG_STATE_PEN[],C$1,0),"ERROR")</f>
        <v>451</v>
      </c>
      <c r="D126" s="110">
        <f>IFERROR(VLOOKUP($B126,MMWR_TRAD_AGG_STATE_PEN[],D$1,0),"ERROR")</f>
        <v>61.070953436800004</v>
      </c>
      <c r="E126" s="111">
        <f>IFERROR(VLOOKUP($B126,MMWR_TRAD_AGG_STATE_PEN[],E$1,0),"ERROR")</f>
        <v>764</v>
      </c>
      <c r="F126" s="112">
        <f>IFERROR(VLOOKUP($B126,MMWR_TRAD_AGG_STATE_PEN[],F$1,0),"ERROR")</f>
        <v>75</v>
      </c>
      <c r="G126" s="113">
        <f t="shared" si="12"/>
        <v>9.8167539267015713E-2</v>
      </c>
      <c r="H126" s="111">
        <f>IFERROR(VLOOKUP($B126,MMWR_TRAD_AGG_STATE_PEN[],H$1,0),"ERROR")</f>
        <v>703</v>
      </c>
      <c r="I126" s="112">
        <f>IFERROR(VLOOKUP($B126,MMWR_TRAD_AGG_STATE_PEN[],I$1,0),"ERROR")</f>
        <v>83</v>
      </c>
      <c r="J126" s="114">
        <f t="shared" si="13"/>
        <v>0.11806543385490754</v>
      </c>
      <c r="K126" s="111">
        <f>IFERROR(VLOOKUP($B126,MMWR_TRAD_AGG_STATE_PEN[],K$1,0),"ERROR")</f>
        <v>1</v>
      </c>
      <c r="L126" s="112">
        <f>IFERROR(VLOOKUP($B126,MMWR_TRAD_AGG_STATE_PEN[],L$1,0),"ERROR")</f>
        <v>1</v>
      </c>
      <c r="M126" s="114">
        <f t="shared" si="14"/>
        <v>1</v>
      </c>
      <c r="N126" s="111">
        <f>IFERROR(VLOOKUP($B126,MMWR_TRAD_AGG_STATE_PEN[],N$1,0),"ERROR")</f>
        <v>74</v>
      </c>
      <c r="O126" s="112">
        <f>IFERROR(VLOOKUP($B126,MMWR_TRAD_AGG_STATE_PEN[],O$1,0),"ERROR")</f>
        <v>23</v>
      </c>
      <c r="P126" s="114">
        <f t="shared" si="15"/>
        <v>0.3108108108108108</v>
      </c>
      <c r="Q126" s="115">
        <f>IFERROR(VLOOKUP($B126,MMWR_TRAD_AGG_STATE_PEN[],Q$1,0),"ERROR")</f>
        <v>144</v>
      </c>
      <c r="R126" s="115">
        <f>IFERROR(VLOOKUP($B126,MMWR_TRAD_AGG_STATE_PEN[],R$1,0),"ERROR")</f>
        <v>94</v>
      </c>
      <c r="S126" s="115">
        <f>IFERROR(VLOOKUP($B126,MMWR_APP_STATE_PEN[],S$1,0),"ERROR")</f>
        <v>237</v>
      </c>
      <c r="T126" s="28"/>
    </row>
    <row r="127" spans="1:20" s="123" customFormat="1" x14ac:dyDescent="0.2">
      <c r="A127" s="28"/>
      <c r="B127" s="128" t="s">
        <v>8</v>
      </c>
      <c r="C127" s="102">
        <f>IFERROR(VLOOKUP($B127,MMWR_TRAD_AGG_ST_DISTRICT_PEN[],C$1,0),"ERROR")</f>
        <v>177</v>
      </c>
      <c r="D127" s="103">
        <f>IFERROR(VLOOKUP($B127,MMWR_TRAD_AGG_ST_DISTRICT_PEN[],D$1,0),"ERROR")</f>
        <v>104.5310734463</v>
      </c>
      <c r="E127" s="102">
        <f>IFERROR(VLOOKUP($B127,MMWR_TRAD_AGG_ST_DISTRICT_PEN[],E$1,0),"ERROR")</f>
        <v>218</v>
      </c>
      <c r="F127" s="102">
        <f>IFERROR(VLOOKUP($B127,MMWR_TRAD_AGG_ST_DISTRICT_PEN[],F$1,0),"ERROR")</f>
        <v>112</v>
      </c>
      <c r="G127" s="104">
        <f t="shared" si="12"/>
        <v>0.51376146788990829</v>
      </c>
      <c r="H127" s="102">
        <f>IFERROR(VLOOKUP($B127,MMWR_TRAD_AGG_ST_DISTRICT_PEN[],H$1,0),"ERROR")</f>
        <v>364</v>
      </c>
      <c r="I127" s="102">
        <f>IFERROR(VLOOKUP($B127,MMWR_TRAD_AGG_ST_DISTRICT_PEN[],I$1,0),"ERROR")</f>
        <v>213</v>
      </c>
      <c r="J127" s="104">
        <f t="shared" si="13"/>
        <v>0.5851648351648352</v>
      </c>
      <c r="K127" s="102">
        <f>IFERROR(VLOOKUP($B127,MMWR_TRAD_AGG_ST_DISTRICT_PEN[],K$1,0),"ERROR")</f>
        <v>6</v>
      </c>
      <c r="L127" s="102">
        <f>IFERROR(VLOOKUP($B127,MMWR_TRAD_AGG_ST_DISTRICT_PEN[],L$1,0),"ERROR")</f>
        <v>6</v>
      </c>
      <c r="M127" s="104">
        <f t="shared" si="14"/>
        <v>1</v>
      </c>
      <c r="N127" s="102">
        <f>IFERROR(VLOOKUP($B127,MMWR_TRAD_AGG_ST_DISTRICT_PEN[],N$1,0),"ERROR")</f>
        <v>8</v>
      </c>
      <c r="O127" s="102">
        <f>IFERROR(VLOOKUP($B127,MMWR_TRAD_AGG_ST_DISTRICT_PEN[],O$1,0),"ERROR")</f>
        <v>4</v>
      </c>
      <c r="P127" s="104">
        <f t="shared" si="15"/>
        <v>0.5</v>
      </c>
      <c r="Q127" s="102">
        <f>IFERROR(VLOOKUP($B127,MMWR_TRAD_AGG_ST_DISTRICT_PEN[],Q$1,0),"ERROR")</f>
        <v>58</v>
      </c>
      <c r="R127" s="106">
        <f>IFERROR(VLOOKUP($B127,MMWR_TRAD_AGG_ST_DISTRICT_PEN[],R$1,0),"ERROR")</f>
        <v>24</v>
      </c>
      <c r="S127" s="106">
        <f>IFERROR(VLOOKUP($B127,MMWR_APP_STATE_PEN[],S$1,0),"ERROR")</f>
        <v>0</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652</v>
      </c>
      <c r="C2" t="s">
        <v>455</v>
      </c>
      <c r="D2" t="s">
        <v>457</v>
      </c>
      <c r="F2" t="s">
        <v>651</v>
      </c>
      <c r="G2" t="s">
        <v>306</v>
      </c>
      <c r="H2" t="s">
        <v>133</v>
      </c>
      <c r="I2" t="s">
        <v>214</v>
      </c>
      <c r="J2" t="s">
        <v>215</v>
      </c>
      <c r="K2" t="s">
        <v>216</v>
      </c>
      <c r="L2" t="s">
        <v>217</v>
      </c>
      <c r="M2" t="s">
        <v>218</v>
      </c>
      <c r="N2" t="s">
        <v>219</v>
      </c>
      <c r="O2" t="s">
        <v>220</v>
      </c>
      <c r="P2" t="s">
        <v>221</v>
      </c>
      <c r="Q2" t="s">
        <v>222</v>
      </c>
      <c r="R2" t="s">
        <v>223</v>
      </c>
      <c r="T2" t="s">
        <v>650</v>
      </c>
      <c r="U2" t="s">
        <v>306</v>
      </c>
      <c r="V2" t="s">
        <v>133</v>
      </c>
      <c r="W2" t="s">
        <v>214</v>
      </c>
      <c r="X2" t="s">
        <v>458</v>
      </c>
      <c r="Y2" t="s">
        <v>216</v>
      </c>
      <c r="Z2" t="s">
        <v>217</v>
      </c>
      <c r="AA2" t="s">
        <v>218</v>
      </c>
      <c r="AB2" t="s">
        <v>459</v>
      </c>
      <c r="AC2" t="s">
        <v>220</v>
      </c>
      <c r="AD2" t="s">
        <v>221</v>
      </c>
      <c r="AE2" t="s">
        <v>222</v>
      </c>
      <c r="AF2" t="s">
        <v>223</v>
      </c>
      <c r="AH2" t="s">
        <v>649</v>
      </c>
      <c r="AI2" t="s">
        <v>306</v>
      </c>
      <c r="AJ2" t="s">
        <v>133</v>
      </c>
      <c r="AK2" t="s">
        <v>214</v>
      </c>
      <c r="AL2" t="s">
        <v>215</v>
      </c>
      <c r="AM2" t="s">
        <v>216</v>
      </c>
      <c r="AN2" t="s">
        <v>217</v>
      </c>
      <c r="AO2" t="s">
        <v>218</v>
      </c>
      <c r="AP2" t="s">
        <v>219</v>
      </c>
      <c r="AQ2" t="s">
        <v>220</v>
      </c>
      <c r="AR2" t="s">
        <v>221</v>
      </c>
      <c r="AS2" t="s">
        <v>222</v>
      </c>
      <c r="AT2" t="s">
        <v>223</v>
      </c>
      <c r="AV2" t="s">
        <v>648</v>
      </c>
      <c r="AW2" t="s">
        <v>306</v>
      </c>
      <c r="AX2" t="s">
        <v>133</v>
      </c>
      <c r="AY2" t="s">
        <v>214</v>
      </c>
      <c r="AZ2" t="s">
        <v>458</v>
      </c>
      <c r="BA2" t="s">
        <v>216</v>
      </c>
      <c r="BB2" t="s">
        <v>217</v>
      </c>
      <c r="BC2" t="s">
        <v>218</v>
      </c>
      <c r="BD2" t="s">
        <v>459</v>
      </c>
      <c r="BE2" t="s">
        <v>220</v>
      </c>
      <c r="BF2" t="s">
        <v>221</v>
      </c>
      <c r="BG2" t="s">
        <v>222</v>
      </c>
      <c r="BH2" t="s">
        <v>223</v>
      </c>
      <c r="BJ2" t="s">
        <v>710</v>
      </c>
      <c r="BK2" t="s">
        <v>729</v>
      </c>
      <c r="BL2" t="s">
        <v>698</v>
      </c>
      <c r="BM2" t="s">
        <v>699</v>
      </c>
      <c r="BN2" t="s">
        <v>700</v>
      </c>
      <c r="BO2" t="s">
        <v>701</v>
      </c>
      <c r="BP2" t="s">
        <v>702</v>
      </c>
      <c r="BQ2" t="s">
        <v>711</v>
      </c>
      <c r="BR2" t="s">
        <v>712</v>
      </c>
      <c r="BS2" t="s">
        <v>703</v>
      </c>
      <c r="BT2" t="s">
        <v>704</v>
      </c>
      <c r="BU2" t="s">
        <v>705</v>
      </c>
      <c r="BV2" t="s">
        <v>706</v>
      </c>
      <c r="BW2" t="s">
        <v>707</v>
      </c>
      <c r="BX2" t="s">
        <v>708</v>
      </c>
      <c r="BY2" t="s">
        <v>709</v>
      </c>
      <c r="CA2" t="s">
        <v>1029</v>
      </c>
      <c r="CB2" t="s">
        <v>734</v>
      </c>
      <c r="CC2" t="s">
        <v>735</v>
      </c>
      <c r="CD2" t="s">
        <v>713</v>
      </c>
      <c r="CE2" t="s">
        <v>714</v>
      </c>
      <c r="CF2" t="s">
        <v>715</v>
      </c>
      <c r="CG2" t="s">
        <v>716</v>
      </c>
      <c r="CH2" t="s">
        <v>717</v>
      </c>
      <c r="CI2" t="s">
        <v>718</v>
      </c>
      <c r="CJ2" t="s">
        <v>719</v>
      </c>
      <c r="CL2" t="s">
        <v>1030</v>
      </c>
      <c r="CM2" t="s">
        <v>734</v>
      </c>
      <c r="CN2" t="s">
        <v>735</v>
      </c>
      <c r="CO2" t="s">
        <v>713</v>
      </c>
      <c r="CP2" t="s">
        <v>714</v>
      </c>
      <c r="CQ2" t="s">
        <v>715</v>
      </c>
      <c r="CR2" t="s">
        <v>716</v>
      </c>
      <c r="CS2" t="s">
        <v>717</v>
      </c>
      <c r="CT2" t="s">
        <v>718</v>
      </c>
      <c r="CU2" t="s">
        <v>719</v>
      </c>
      <c r="CW2" t="s">
        <v>1031</v>
      </c>
      <c r="CX2" t="s">
        <v>734</v>
      </c>
      <c r="CY2" t="s">
        <v>735</v>
      </c>
      <c r="CZ2" t="s">
        <v>713</v>
      </c>
      <c r="DA2" t="s">
        <v>714</v>
      </c>
      <c r="DB2" t="s">
        <v>715</v>
      </c>
      <c r="DC2" t="s">
        <v>716</v>
      </c>
      <c r="DD2" t="s">
        <v>717</v>
      </c>
      <c r="DE2" t="s">
        <v>718</v>
      </c>
      <c r="DF2" t="s">
        <v>719</v>
      </c>
      <c r="DH2" t="s">
        <v>1032</v>
      </c>
      <c r="DI2" t="s">
        <v>734</v>
      </c>
      <c r="DJ2" t="s">
        <v>735</v>
      </c>
      <c r="DK2" t="s">
        <v>713</v>
      </c>
      <c r="DL2" t="s">
        <v>714</v>
      </c>
      <c r="DM2" t="s">
        <v>715</v>
      </c>
      <c r="DN2" t="s">
        <v>716</v>
      </c>
      <c r="DO2" t="s">
        <v>717</v>
      </c>
      <c r="DP2" t="s">
        <v>718</v>
      </c>
      <c r="DQ2" t="s">
        <v>719</v>
      </c>
    </row>
    <row r="3" spans="2:121" x14ac:dyDescent="0.2">
      <c r="C3">
        <v>357318</v>
      </c>
      <c r="D3">
        <v>286486</v>
      </c>
      <c r="F3" t="s">
        <v>31</v>
      </c>
      <c r="G3">
        <v>553</v>
      </c>
      <c r="H3">
        <v>178.0433996383</v>
      </c>
      <c r="I3">
        <v>2862</v>
      </c>
      <c r="J3">
        <v>614</v>
      </c>
      <c r="K3">
        <v>1579</v>
      </c>
      <c r="L3">
        <v>353</v>
      </c>
      <c r="M3">
        <v>289</v>
      </c>
      <c r="N3">
        <v>123</v>
      </c>
      <c r="O3">
        <v>422</v>
      </c>
      <c r="P3">
        <v>269</v>
      </c>
      <c r="Q3">
        <v>0</v>
      </c>
      <c r="R3">
        <v>9</v>
      </c>
      <c r="T3" t="s">
        <v>209</v>
      </c>
      <c r="U3">
        <v>4551</v>
      </c>
      <c r="V3">
        <v>62.299274884600003</v>
      </c>
      <c r="W3">
        <v>7719</v>
      </c>
      <c r="X3">
        <v>859</v>
      </c>
      <c r="Y3">
        <v>6743</v>
      </c>
      <c r="Z3">
        <v>541</v>
      </c>
      <c r="AA3">
        <v>3</v>
      </c>
      <c r="AB3">
        <v>3</v>
      </c>
      <c r="AC3">
        <v>583</v>
      </c>
      <c r="AD3">
        <v>132</v>
      </c>
      <c r="AE3">
        <v>1157</v>
      </c>
      <c r="AF3">
        <v>946</v>
      </c>
      <c r="AH3" t="s">
        <v>387</v>
      </c>
      <c r="AI3">
        <v>10408</v>
      </c>
      <c r="AJ3">
        <v>346.33531898540002</v>
      </c>
      <c r="AK3">
        <v>8152</v>
      </c>
      <c r="AL3">
        <v>1942</v>
      </c>
      <c r="AM3">
        <v>16177</v>
      </c>
      <c r="AN3">
        <v>9253</v>
      </c>
      <c r="AO3">
        <v>4923</v>
      </c>
      <c r="AP3">
        <v>4159</v>
      </c>
      <c r="AQ3">
        <v>3300</v>
      </c>
      <c r="AR3">
        <v>1944</v>
      </c>
      <c r="AS3">
        <v>532</v>
      </c>
      <c r="AT3">
        <v>414</v>
      </c>
      <c r="AV3" t="s">
        <v>404</v>
      </c>
      <c r="AW3">
        <v>67</v>
      </c>
      <c r="AX3">
        <v>55.895522388099998</v>
      </c>
      <c r="AY3">
        <v>122</v>
      </c>
      <c r="AZ3">
        <v>5</v>
      </c>
      <c r="BA3">
        <v>151</v>
      </c>
      <c r="BB3">
        <v>14</v>
      </c>
      <c r="BC3">
        <v>0</v>
      </c>
      <c r="BE3">
        <v>5</v>
      </c>
      <c r="BF3">
        <v>5</v>
      </c>
      <c r="BG3">
        <v>297</v>
      </c>
      <c r="BH3">
        <v>28</v>
      </c>
      <c r="BJ3" t="s">
        <v>727</v>
      </c>
      <c r="BK3" t="s">
        <v>730</v>
      </c>
      <c r="BL3">
        <v>334999</v>
      </c>
      <c r="BM3">
        <v>70792</v>
      </c>
      <c r="BN3">
        <v>91.615366015999996</v>
      </c>
      <c r="BO3">
        <v>877661</v>
      </c>
      <c r="BP3">
        <v>83881</v>
      </c>
      <c r="BQ3">
        <v>128.72030544820001</v>
      </c>
      <c r="BR3">
        <v>126.703162814</v>
      </c>
      <c r="BS3">
        <v>335000</v>
      </c>
      <c r="BT3">
        <v>70793</v>
      </c>
      <c r="BU3">
        <v>91.616671641799996</v>
      </c>
      <c r="BV3">
        <v>877661</v>
      </c>
      <c r="BW3">
        <v>83881</v>
      </c>
      <c r="BX3">
        <v>128.72030544820001</v>
      </c>
      <c r="BY3">
        <v>126.703162814</v>
      </c>
      <c r="CA3" t="s">
        <v>1035</v>
      </c>
      <c r="CB3" t="s">
        <v>730</v>
      </c>
      <c r="CC3" t="s">
        <v>916</v>
      </c>
      <c r="CD3">
        <v>7311</v>
      </c>
      <c r="CE3">
        <v>813</v>
      </c>
      <c r="CF3">
        <v>68.699357133099994</v>
      </c>
      <c r="CG3">
        <v>24276</v>
      </c>
      <c r="CH3">
        <v>2031</v>
      </c>
      <c r="CI3">
        <v>131.1221782831</v>
      </c>
      <c r="CJ3">
        <v>117.06302314129999</v>
      </c>
      <c r="CL3" t="s">
        <v>1035</v>
      </c>
      <c r="CM3" t="s">
        <v>730</v>
      </c>
      <c r="CN3" t="s">
        <v>916</v>
      </c>
      <c r="CO3">
        <v>7311</v>
      </c>
      <c r="CP3">
        <v>813</v>
      </c>
      <c r="CQ3">
        <v>68.699357133099994</v>
      </c>
      <c r="CR3">
        <v>24276</v>
      </c>
      <c r="CS3">
        <v>2031</v>
      </c>
      <c r="CT3">
        <v>131.1221782831</v>
      </c>
      <c r="CU3">
        <v>117.06302314129999</v>
      </c>
      <c r="CW3" t="s">
        <v>1035</v>
      </c>
      <c r="CX3" t="s">
        <v>730</v>
      </c>
      <c r="CY3" t="s">
        <v>916</v>
      </c>
      <c r="CZ3">
        <v>7311</v>
      </c>
      <c r="DA3">
        <v>813</v>
      </c>
      <c r="DB3">
        <v>68.699357133099994</v>
      </c>
      <c r="DC3">
        <v>24276</v>
      </c>
      <c r="DD3">
        <v>2031</v>
      </c>
      <c r="DE3">
        <v>131.1221782831</v>
      </c>
      <c r="DF3">
        <v>117.06302314129999</v>
      </c>
      <c r="DH3" t="s">
        <v>1035</v>
      </c>
      <c r="DI3" t="s">
        <v>730</v>
      </c>
      <c r="DJ3" t="s">
        <v>916</v>
      </c>
      <c r="DK3">
        <v>7311</v>
      </c>
      <c r="DL3">
        <v>813</v>
      </c>
      <c r="DM3">
        <v>68.699357133099994</v>
      </c>
      <c r="DN3">
        <v>24276</v>
      </c>
      <c r="DO3">
        <v>2031</v>
      </c>
      <c r="DP3">
        <v>131.1221782831</v>
      </c>
      <c r="DQ3">
        <v>117.06302314129999</v>
      </c>
    </row>
    <row r="4" spans="2:121" x14ac:dyDescent="0.2">
      <c r="B4" t="s">
        <v>105</v>
      </c>
      <c r="C4">
        <v>8330</v>
      </c>
      <c r="D4">
        <v>6380</v>
      </c>
      <c r="F4" t="s">
        <v>25</v>
      </c>
      <c r="G4">
        <v>11716</v>
      </c>
      <c r="H4">
        <v>364.07331853879998</v>
      </c>
      <c r="I4">
        <v>17632</v>
      </c>
      <c r="J4">
        <v>4927</v>
      </c>
      <c r="K4">
        <v>21328</v>
      </c>
      <c r="L4">
        <v>11992</v>
      </c>
      <c r="M4">
        <v>8390</v>
      </c>
      <c r="N4">
        <v>6758</v>
      </c>
      <c r="O4">
        <v>6192</v>
      </c>
      <c r="P4">
        <v>5285</v>
      </c>
      <c r="Q4">
        <v>78</v>
      </c>
      <c r="R4">
        <v>25</v>
      </c>
      <c r="T4" t="s">
        <v>224</v>
      </c>
      <c r="U4">
        <v>0</v>
      </c>
      <c r="W4">
        <v>373</v>
      </c>
      <c r="X4">
        <v>152</v>
      </c>
      <c r="Y4">
        <v>3271</v>
      </c>
      <c r="Z4">
        <v>1152</v>
      </c>
      <c r="AA4">
        <v>200</v>
      </c>
      <c r="AB4">
        <v>200</v>
      </c>
      <c r="AC4">
        <v>182</v>
      </c>
      <c r="AD4">
        <v>111</v>
      </c>
      <c r="AE4">
        <v>7</v>
      </c>
      <c r="AF4">
        <v>0</v>
      </c>
      <c r="AH4" t="s">
        <v>423</v>
      </c>
      <c r="AI4">
        <v>1796</v>
      </c>
      <c r="AJ4">
        <v>514.92706013359998</v>
      </c>
      <c r="AK4">
        <v>1079</v>
      </c>
      <c r="AL4">
        <v>282</v>
      </c>
      <c r="AM4">
        <v>3015</v>
      </c>
      <c r="AN4">
        <v>1998</v>
      </c>
      <c r="AO4">
        <v>1399</v>
      </c>
      <c r="AP4">
        <v>1112</v>
      </c>
      <c r="AQ4">
        <v>385</v>
      </c>
      <c r="AR4">
        <v>280</v>
      </c>
      <c r="AS4">
        <v>0</v>
      </c>
      <c r="AT4">
        <v>3</v>
      </c>
      <c r="AV4" t="s">
        <v>393</v>
      </c>
      <c r="AW4">
        <v>468</v>
      </c>
      <c r="AX4">
        <v>73.585470085500006</v>
      </c>
      <c r="AY4">
        <v>800</v>
      </c>
      <c r="AZ4">
        <v>91</v>
      </c>
      <c r="BA4">
        <v>663</v>
      </c>
      <c r="BB4">
        <v>55</v>
      </c>
      <c r="BC4">
        <v>0</v>
      </c>
      <c r="BE4">
        <v>57</v>
      </c>
      <c r="BF4">
        <v>17</v>
      </c>
      <c r="BG4">
        <v>87</v>
      </c>
      <c r="BH4">
        <v>142</v>
      </c>
      <c r="BJ4" t="s">
        <v>636</v>
      </c>
      <c r="BK4" t="s">
        <v>384</v>
      </c>
      <c r="BL4">
        <v>739</v>
      </c>
      <c r="BM4">
        <v>70</v>
      </c>
      <c r="BN4">
        <v>66.324763193500004</v>
      </c>
      <c r="BO4">
        <v>2344</v>
      </c>
      <c r="BP4">
        <v>202</v>
      </c>
      <c r="BQ4">
        <v>118.0793515358</v>
      </c>
      <c r="BR4">
        <v>111.45049504950001</v>
      </c>
      <c r="BS4">
        <v>354</v>
      </c>
      <c r="BT4">
        <v>100</v>
      </c>
      <c r="BU4">
        <v>100.99435028249999</v>
      </c>
      <c r="BV4">
        <v>2931</v>
      </c>
      <c r="BW4">
        <v>330</v>
      </c>
      <c r="BX4">
        <v>125.5786421017</v>
      </c>
      <c r="BY4">
        <v>143.2727272727</v>
      </c>
      <c r="CA4" t="s">
        <v>1034</v>
      </c>
      <c r="CB4" t="s">
        <v>730</v>
      </c>
      <c r="CC4" t="s">
        <v>916</v>
      </c>
      <c r="CD4">
        <v>335000</v>
      </c>
      <c r="CE4">
        <v>70793</v>
      </c>
      <c r="CF4">
        <v>91.616671641799996</v>
      </c>
      <c r="CG4">
        <v>877661</v>
      </c>
      <c r="CH4">
        <v>83881</v>
      </c>
      <c r="CI4">
        <v>128.72030544820001</v>
      </c>
      <c r="CJ4">
        <v>126.703162814</v>
      </c>
      <c r="CL4" t="s">
        <v>1034</v>
      </c>
      <c r="CM4" t="s">
        <v>730</v>
      </c>
      <c r="CN4" t="s">
        <v>916</v>
      </c>
      <c r="CO4">
        <v>335000</v>
      </c>
      <c r="CP4">
        <v>70793</v>
      </c>
      <c r="CQ4">
        <v>91.616671641799996</v>
      </c>
      <c r="CR4">
        <v>877661</v>
      </c>
      <c r="CS4">
        <v>83881</v>
      </c>
      <c r="CT4">
        <v>128.72030544820001</v>
      </c>
      <c r="CU4">
        <v>126.703162814</v>
      </c>
      <c r="CW4" t="s">
        <v>1034</v>
      </c>
      <c r="CX4" t="s">
        <v>730</v>
      </c>
      <c r="CY4" t="s">
        <v>916</v>
      </c>
      <c r="CZ4">
        <v>335000</v>
      </c>
      <c r="DA4">
        <v>70793</v>
      </c>
      <c r="DB4">
        <v>91.616671641799996</v>
      </c>
      <c r="DC4">
        <v>877661</v>
      </c>
      <c r="DD4">
        <v>83881</v>
      </c>
      <c r="DE4">
        <v>128.72030544820001</v>
      </c>
      <c r="DF4">
        <v>126.703162814</v>
      </c>
      <c r="DH4" t="s">
        <v>1034</v>
      </c>
      <c r="DI4" t="s">
        <v>730</v>
      </c>
      <c r="DJ4" t="s">
        <v>916</v>
      </c>
      <c r="DK4">
        <v>335000</v>
      </c>
      <c r="DL4">
        <v>70793</v>
      </c>
      <c r="DM4">
        <v>91.616671641799996</v>
      </c>
      <c r="DN4">
        <v>877661</v>
      </c>
      <c r="DO4">
        <v>83881</v>
      </c>
      <c r="DP4">
        <v>128.72030544820001</v>
      </c>
      <c r="DQ4">
        <v>126.703162814</v>
      </c>
    </row>
    <row r="5" spans="2:121" x14ac:dyDescent="0.2">
      <c r="B5" t="s">
        <v>88</v>
      </c>
      <c r="C5">
        <v>82876</v>
      </c>
      <c r="D5">
        <v>19312</v>
      </c>
      <c r="F5" t="s">
        <v>69</v>
      </c>
      <c r="G5">
        <v>14531</v>
      </c>
      <c r="H5">
        <v>337.67552129929999</v>
      </c>
      <c r="I5">
        <v>11521</v>
      </c>
      <c r="J5">
        <v>2147</v>
      </c>
      <c r="K5">
        <v>20459</v>
      </c>
      <c r="L5">
        <v>10549</v>
      </c>
      <c r="M5">
        <v>7956</v>
      </c>
      <c r="N5">
        <v>6508</v>
      </c>
      <c r="O5">
        <v>4652</v>
      </c>
      <c r="P5">
        <v>4056</v>
      </c>
      <c r="Q5">
        <v>5</v>
      </c>
      <c r="R5">
        <v>7</v>
      </c>
      <c r="T5" t="s">
        <v>210</v>
      </c>
      <c r="U5">
        <v>13933</v>
      </c>
      <c r="V5">
        <v>106.0531830905</v>
      </c>
      <c r="W5">
        <v>16170</v>
      </c>
      <c r="X5">
        <v>2827</v>
      </c>
      <c r="Y5">
        <v>16721</v>
      </c>
      <c r="Z5">
        <v>5570</v>
      </c>
      <c r="AA5">
        <v>17</v>
      </c>
      <c r="AB5">
        <v>16</v>
      </c>
      <c r="AC5">
        <v>621</v>
      </c>
      <c r="AD5">
        <v>189</v>
      </c>
      <c r="AE5">
        <v>2152</v>
      </c>
      <c r="AF5">
        <v>3192</v>
      </c>
      <c r="AH5" t="s">
        <v>425</v>
      </c>
      <c r="AI5">
        <v>3774</v>
      </c>
      <c r="AJ5">
        <v>283.57048224699997</v>
      </c>
      <c r="AK5">
        <v>5605</v>
      </c>
      <c r="AL5">
        <v>957</v>
      </c>
      <c r="AM5">
        <v>7420</v>
      </c>
      <c r="AN5">
        <v>3094</v>
      </c>
      <c r="AO5">
        <v>1815</v>
      </c>
      <c r="AP5">
        <v>1229</v>
      </c>
      <c r="AQ5">
        <v>2623</v>
      </c>
      <c r="AR5">
        <v>1683</v>
      </c>
      <c r="AS5">
        <v>9</v>
      </c>
      <c r="AT5">
        <v>91</v>
      </c>
      <c r="AV5" t="s">
        <v>383</v>
      </c>
      <c r="AW5">
        <v>451</v>
      </c>
      <c r="AX5">
        <v>61.070953436800004</v>
      </c>
      <c r="AY5">
        <v>764</v>
      </c>
      <c r="AZ5">
        <v>75</v>
      </c>
      <c r="BA5">
        <v>703</v>
      </c>
      <c r="BB5">
        <v>83</v>
      </c>
      <c r="BC5">
        <v>1</v>
      </c>
      <c r="BD5">
        <v>1</v>
      </c>
      <c r="BE5">
        <v>74</v>
      </c>
      <c r="BF5">
        <v>23</v>
      </c>
      <c r="BG5">
        <v>144</v>
      </c>
      <c r="BH5">
        <v>94</v>
      </c>
      <c r="BJ5" t="s">
        <v>384</v>
      </c>
      <c r="BK5" t="s">
        <v>384</v>
      </c>
      <c r="BL5">
        <v>64312</v>
      </c>
      <c r="BM5">
        <v>12331</v>
      </c>
      <c r="BN5">
        <v>88.457737280800004</v>
      </c>
      <c r="BO5">
        <v>170827</v>
      </c>
      <c r="BP5">
        <v>16150</v>
      </c>
      <c r="BQ5">
        <v>132.73408184889999</v>
      </c>
      <c r="BR5">
        <v>129.7879876161</v>
      </c>
      <c r="BS5">
        <v>25776</v>
      </c>
      <c r="BT5">
        <v>6391</v>
      </c>
      <c r="BU5">
        <v>100.98056331470001</v>
      </c>
      <c r="BV5">
        <v>171901</v>
      </c>
      <c r="BW5">
        <v>17959</v>
      </c>
      <c r="BX5">
        <v>133.0339265042</v>
      </c>
      <c r="BY5">
        <v>128.99365220780001</v>
      </c>
      <c r="CA5" t="s">
        <v>1036</v>
      </c>
      <c r="CB5" t="s">
        <v>730</v>
      </c>
      <c r="CC5" t="s">
        <v>916</v>
      </c>
      <c r="CD5">
        <v>27151</v>
      </c>
      <c r="CE5">
        <v>3289</v>
      </c>
      <c r="CF5">
        <v>69.248720120800002</v>
      </c>
      <c r="CG5">
        <v>122274</v>
      </c>
      <c r="CH5">
        <v>12875</v>
      </c>
      <c r="CI5">
        <v>79.107406316999999</v>
      </c>
      <c r="CJ5">
        <v>85.970873786400006</v>
      </c>
      <c r="CL5" t="s">
        <v>1036</v>
      </c>
      <c r="CM5" t="s">
        <v>730</v>
      </c>
      <c r="CN5" t="s">
        <v>916</v>
      </c>
      <c r="CO5">
        <v>27151</v>
      </c>
      <c r="CP5">
        <v>3289</v>
      </c>
      <c r="CQ5">
        <v>69.248720120800002</v>
      </c>
      <c r="CR5">
        <v>122274</v>
      </c>
      <c r="CS5">
        <v>12875</v>
      </c>
      <c r="CT5">
        <v>79.107406316999999</v>
      </c>
      <c r="CU5">
        <v>85.970873786400006</v>
      </c>
      <c r="CW5" t="s">
        <v>1036</v>
      </c>
      <c r="CX5" t="s">
        <v>730</v>
      </c>
      <c r="CY5" t="s">
        <v>916</v>
      </c>
      <c r="CZ5">
        <v>27151</v>
      </c>
      <c r="DA5">
        <v>3289</v>
      </c>
      <c r="DB5">
        <v>69.248720120800002</v>
      </c>
      <c r="DC5">
        <v>122274</v>
      </c>
      <c r="DD5">
        <v>12875</v>
      </c>
      <c r="DE5">
        <v>79.107406316999999</v>
      </c>
      <c r="DF5">
        <v>85.970873786400006</v>
      </c>
      <c r="DH5" t="s">
        <v>1036</v>
      </c>
      <c r="DI5" t="s">
        <v>730</v>
      </c>
      <c r="DJ5" t="s">
        <v>916</v>
      </c>
      <c r="DK5">
        <v>27151</v>
      </c>
      <c r="DL5">
        <v>3289</v>
      </c>
      <c r="DM5">
        <v>69.248720120800002</v>
      </c>
      <c r="DN5">
        <v>122274</v>
      </c>
      <c r="DO5">
        <v>12875</v>
      </c>
      <c r="DP5">
        <v>79.107406316999999</v>
      </c>
      <c r="DQ5">
        <v>85.970873786400006</v>
      </c>
    </row>
    <row r="6" spans="2:121" x14ac:dyDescent="0.2">
      <c r="B6" t="s">
        <v>96</v>
      </c>
      <c r="C6">
        <v>193311</v>
      </c>
      <c r="D6">
        <v>58809</v>
      </c>
      <c r="F6" t="s">
        <v>41</v>
      </c>
      <c r="G6">
        <v>563</v>
      </c>
      <c r="H6">
        <v>124.6625222025</v>
      </c>
      <c r="I6">
        <v>2417</v>
      </c>
      <c r="J6">
        <v>339</v>
      </c>
      <c r="K6">
        <v>2015</v>
      </c>
      <c r="L6">
        <v>257</v>
      </c>
      <c r="M6">
        <v>151</v>
      </c>
      <c r="N6">
        <v>86</v>
      </c>
      <c r="O6">
        <v>211</v>
      </c>
      <c r="P6">
        <v>95</v>
      </c>
      <c r="Q6">
        <v>0</v>
      </c>
      <c r="R6">
        <v>9</v>
      </c>
      <c r="T6" t="s">
        <v>212</v>
      </c>
      <c r="U6">
        <v>4260</v>
      </c>
      <c r="V6">
        <v>66.477699530500004</v>
      </c>
      <c r="W6">
        <v>5971</v>
      </c>
      <c r="X6">
        <v>215</v>
      </c>
      <c r="Y6">
        <v>6147</v>
      </c>
      <c r="Z6">
        <v>531</v>
      </c>
      <c r="AA6">
        <v>30</v>
      </c>
      <c r="AB6">
        <v>18</v>
      </c>
      <c r="AC6">
        <v>304</v>
      </c>
      <c r="AD6">
        <v>106</v>
      </c>
      <c r="AE6">
        <v>8796</v>
      </c>
      <c r="AF6">
        <v>1827</v>
      </c>
      <c r="AH6" t="s">
        <v>410</v>
      </c>
      <c r="AI6">
        <v>3421</v>
      </c>
      <c r="AJ6">
        <v>267.94709149369999</v>
      </c>
      <c r="AK6">
        <v>3607</v>
      </c>
      <c r="AL6">
        <v>493</v>
      </c>
      <c r="AM6">
        <v>6328</v>
      </c>
      <c r="AN6">
        <v>2592</v>
      </c>
      <c r="AO6">
        <v>2295</v>
      </c>
      <c r="AP6">
        <v>1596</v>
      </c>
      <c r="AQ6">
        <v>2724</v>
      </c>
      <c r="AR6">
        <v>1746</v>
      </c>
      <c r="AS6">
        <v>457</v>
      </c>
      <c r="AT6">
        <v>104</v>
      </c>
      <c r="AV6" t="s">
        <v>411</v>
      </c>
      <c r="AW6">
        <v>238</v>
      </c>
      <c r="AX6">
        <v>58.680672268899997</v>
      </c>
      <c r="AY6">
        <v>235</v>
      </c>
      <c r="AZ6">
        <v>10</v>
      </c>
      <c r="BA6">
        <v>352</v>
      </c>
      <c r="BB6">
        <v>26</v>
      </c>
      <c r="BC6">
        <v>1</v>
      </c>
      <c r="BD6">
        <v>1</v>
      </c>
      <c r="BE6">
        <v>29</v>
      </c>
      <c r="BF6">
        <v>13</v>
      </c>
      <c r="BG6">
        <v>612</v>
      </c>
      <c r="BH6">
        <v>73</v>
      </c>
      <c r="BJ6" t="s">
        <v>583</v>
      </c>
      <c r="BK6" t="s">
        <v>384</v>
      </c>
      <c r="BL6">
        <v>5575</v>
      </c>
      <c r="BM6">
        <v>1194</v>
      </c>
      <c r="BN6">
        <v>94.763766816100002</v>
      </c>
      <c r="BO6">
        <v>16272</v>
      </c>
      <c r="BP6">
        <v>1351</v>
      </c>
      <c r="BQ6">
        <v>145.3154498525</v>
      </c>
      <c r="BR6">
        <v>140.38193930419999</v>
      </c>
      <c r="BS6">
        <v>2195</v>
      </c>
      <c r="BT6">
        <v>598</v>
      </c>
      <c r="BU6">
        <v>105.4519362187</v>
      </c>
      <c r="BV6">
        <v>16229</v>
      </c>
      <c r="BW6">
        <v>1742</v>
      </c>
      <c r="BX6">
        <v>143.1266251772</v>
      </c>
      <c r="BY6">
        <v>135.03559127439999</v>
      </c>
      <c r="CA6" t="s">
        <v>1037</v>
      </c>
      <c r="CB6" t="s">
        <v>730</v>
      </c>
      <c r="CC6" t="s">
        <v>916</v>
      </c>
      <c r="CD6">
        <v>7335</v>
      </c>
      <c r="CE6">
        <v>899</v>
      </c>
      <c r="CF6">
        <v>70.155555555600003</v>
      </c>
      <c r="CG6">
        <v>21355</v>
      </c>
      <c r="CH6">
        <v>2133</v>
      </c>
      <c r="CI6">
        <v>137.91266682279999</v>
      </c>
      <c r="CJ6">
        <v>116.4571026723</v>
      </c>
      <c r="CL6" t="s">
        <v>1037</v>
      </c>
      <c r="CM6" t="s">
        <v>730</v>
      </c>
      <c r="CN6" t="s">
        <v>916</v>
      </c>
      <c r="CO6">
        <v>7335</v>
      </c>
      <c r="CP6">
        <v>899</v>
      </c>
      <c r="CQ6">
        <v>70.155555555600003</v>
      </c>
      <c r="CR6">
        <v>21355</v>
      </c>
      <c r="CS6">
        <v>2133</v>
      </c>
      <c r="CT6">
        <v>137.91266682279999</v>
      </c>
      <c r="CU6">
        <v>116.4571026723</v>
      </c>
      <c r="CW6" t="s">
        <v>1037</v>
      </c>
      <c r="CX6" t="s">
        <v>730</v>
      </c>
      <c r="CY6" t="s">
        <v>916</v>
      </c>
      <c r="CZ6">
        <v>7335</v>
      </c>
      <c r="DA6">
        <v>899</v>
      </c>
      <c r="DB6">
        <v>70.155555555600003</v>
      </c>
      <c r="DC6">
        <v>21355</v>
      </c>
      <c r="DD6">
        <v>2133</v>
      </c>
      <c r="DE6">
        <v>137.91266682279999</v>
      </c>
      <c r="DF6">
        <v>116.4571026723</v>
      </c>
      <c r="DH6" t="s">
        <v>1037</v>
      </c>
      <c r="DI6" t="s">
        <v>730</v>
      </c>
      <c r="DJ6" t="s">
        <v>916</v>
      </c>
      <c r="DK6">
        <v>7335</v>
      </c>
      <c r="DL6">
        <v>899</v>
      </c>
      <c r="DM6">
        <v>70.155555555600003</v>
      </c>
      <c r="DN6">
        <v>21355</v>
      </c>
      <c r="DO6">
        <v>2133</v>
      </c>
      <c r="DP6">
        <v>137.91266682279999</v>
      </c>
      <c r="DQ6">
        <v>116.4571026723</v>
      </c>
    </row>
    <row r="7" spans="2:121" x14ac:dyDescent="0.2">
      <c r="B7" t="s">
        <v>106</v>
      </c>
      <c r="C7">
        <v>79183</v>
      </c>
      <c r="D7">
        <v>47039</v>
      </c>
      <c r="F7" t="s">
        <v>61</v>
      </c>
      <c r="G7">
        <v>448</v>
      </c>
      <c r="H7">
        <v>253.41294642860001</v>
      </c>
      <c r="I7">
        <v>2740</v>
      </c>
      <c r="J7">
        <v>699</v>
      </c>
      <c r="K7">
        <v>1658</v>
      </c>
      <c r="L7">
        <v>355</v>
      </c>
      <c r="M7">
        <v>512</v>
      </c>
      <c r="N7">
        <v>478</v>
      </c>
      <c r="O7">
        <v>1446</v>
      </c>
      <c r="P7">
        <v>1206</v>
      </c>
      <c r="Q7">
        <v>0</v>
      </c>
      <c r="R7">
        <v>1</v>
      </c>
      <c r="T7" t="s">
        <v>461</v>
      </c>
      <c r="U7">
        <v>22744</v>
      </c>
      <c r="V7">
        <v>89.885596201200002</v>
      </c>
      <c r="W7">
        <v>30233</v>
      </c>
      <c r="X7">
        <v>4053</v>
      </c>
      <c r="Y7">
        <v>32882</v>
      </c>
      <c r="Z7">
        <v>7794</v>
      </c>
      <c r="AA7">
        <v>250</v>
      </c>
      <c r="AB7">
        <v>237</v>
      </c>
      <c r="AC7">
        <v>1690</v>
      </c>
      <c r="AD7">
        <v>538</v>
      </c>
      <c r="AE7">
        <v>12112</v>
      </c>
      <c r="AF7">
        <v>5965</v>
      </c>
      <c r="AH7" t="s">
        <v>406</v>
      </c>
      <c r="AI7">
        <v>18707</v>
      </c>
      <c r="AJ7">
        <v>406.88432137699999</v>
      </c>
      <c r="AK7">
        <v>33811</v>
      </c>
      <c r="AL7">
        <v>6756</v>
      </c>
      <c r="AM7">
        <v>38692</v>
      </c>
      <c r="AN7">
        <v>20230</v>
      </c>
      <c r="AO7">
        <v>10421</v>
      </c>
      <c r="AP7">
        <v>8247</v>
      </c>
      <c r="AQ7">
        <v>15285</v>
      </c>
      <c r="AR7">
        <v>10855</v>
      </c>
      <c r="AS7">
        <v>59</v>
      </c>
      <c r="AT7">
        <v>158</v>
      </c>
      <c r="AV7" t="s">
        <v>412</v>
      </c>
      <c r="AW7">
        <v>107</v>
      </c>
      <c r="AX7">
        <v>71.401869158899999</v>
      </c>
      <c r="AY7">
        <v>129</v>
      </c>
      <c r="AZ7">
        <v>2</v>
      </c>
      <c r="BA7">
        <v>195</v>
      </c>
      <c r="BB7">
        <v>26</v>
      </c>
      <c r="BC7">
        <v>0</v>
      </c>
      <c r="BE7">
        <v>12</v>
      </c>
      <c r="BF7">
        <v>8</v>
      </c>
      <c r="BG7">
        <v>212</v>
      </c>
      <c r="BH7">
        <v>42</v>
      </c>
      <c r="BJ7" t="s">
        <v>630</v>
      </c>
      <c r="BK7" t="s">
        <v>384</v>
      </c>
      <c r="BL7">
        <v>711</v>
      </c>
      <c r="BM7">
        <v>53</v>
      </c>
      <c r="BN7">
        <v>61.372714486600003</v>
      </c>
      <c r="BO7">
        <v>3099</v>
      </c>
      <c r="BP7">
        <v>263</v>
      </c>
      <c r="BQ7">
        <v>83.117134559500002</v>
      </c>
      <c r="BR7">
        <v>81.946768060799997</v>
      </c>
      <c r="BS7">
        <v>765</v>
      </c>
      <c r="BT7">
        <v>78</v>
      </c>
      <c r="BU7">
        <v>73.467973856200004</v>
      </c>
      <c r="BV7">
        <v>5749</v>
      </c>
      <c r="BW7">
        <v>553</v>
      </c>
      <c r="BX7">
        <v>108.2607409984</v>
      </c>
      <c r="BY7">
        <v>99.385171790200005</v>
      </c>
      <c r="CA7" t="s">
        <v>410</v>
      </c>
      <c r="CB7" t="s">
        <v>766</v>
      </c>
      <c r="CC7" t="s">
        <v>992</v>
      </c>
      <c r="CD7">
        <v>3669</v>
      </c>
      <c r="CE7">
        <v>454</v>
      </c>
      <c r="CF7">
        <v>76.204687925900004</v>
      </c>
      <c r="CG7">
        <v>11003</v>
      </c>
      <c r="CH7">
        <v>930</v>
      </c>
      <c r="CI7">
        <v>115.6247387076</v>
      </c>
      <c r="CJ7">
        <v>118.50430107530001</v>
      </c>
      <c r="CL7" t="s">
        <v>410</v>
      </c>
      <c r="CM7" t="s">
        <v>747</v>
      </c>
      <c r="CN7" t="s">
        <v>746</v>
      </c>
      <c r="CO7">
        <v>288</v>
      </c>
      <c r="CP7">
        <v>44</v>
      </c>
      <c r="CQ7">
        <v>69.951388888899999</v>
      </c>
      <c r="CR7">
        <v>1808</v>
      </c>
      <c r="CS7">
        <v>194</v>
      </c>
      <c r="CT7">
        <v>65.238384955800001</v>
      </c>
      <c r="CU7">
        <v>68.840206185599996</v>
      </c>
      <c r="CW7" t="s">
        <v>410</v>
      </c>
      <c r="CX7" t="s">
        <v>757</v>
      </c>
      <c r="CY7" t="s">
        <v>756</v>
      </c>
      <c r="CZ7">
        <v>47</v>
      </c>
      <c r="DA7">
        <v>8</v>
      </c>
      <c r="DB7">
        <v>81.787234042600005</v>
      </c>
      <c r="DC7">
        <v>126</v>
      </c>
      <c r="DD7">
        <v>14</v>
      </c>
      <c r="DE7">
        <v>130.7222222222</v>
      </c>
      <c r="DF7">
        <v>114.7142857143</v>
      </c>
      <c r="DH7" t="s">
        <v>410</v>
      </c>
      <c r="DI7" t="s">
        <v>737</v>
      </c>
      <c r="DJ7" t="s">
        <v>736</v>
      </c>
      <c r="DK7">
        <v>40</v>
      </c>
      <c r="DL7">
        <v>4</v>
      </c>
      <c r="DM7">
        <v>75.474999999999994</v>
      </c>
      <c r="DN7">
        <v>105</v>
      </c>
      <c r="DO7">
        <v>17</v>
      </c>
      <c r="DP7">
        <v>135.31428571430001</v>
      </c>
      <c r="DQ7">
        <v>131.1764705882</v>
      </c>
    </row>
    <row r="8" spans="2:121" x14ac:dyDescent="0.2">
      <c r="B8" t="s">
        <v>111</v>
      </c>
      <c r="C8">
        <v>7813</v>
      </c>
      <c r="D8">
        <v>505</v>
      </c>
      <c r="F8" t="s">
        <v>83</v>
      </c>
      <c r="G8">
        <v>15975</v>
      </c>
      <c r="H8">
        <v>310.89965571210001</v>
      </c>
      <c r="I8">
        <v>18111</v>
      </c>
      <c r="J8">
        <v>4050</v>
      </c>
      <c r="K8">
        <v>28188</v>
      </c>
      <c r="L8">
        <v>16676</v>
      </c>
      <c r="M8">
        <v>12437</v>
      </c>
      <c r="N8">
        <v>9182</v>
      </c>
      <c r="O8">
        <v>4298</v>
      </c>
      <c r="P8">
        <v>3163</v>
      </c>
      <c r="Q8">
        <v>1</v>
      </c>
      <c r="R8">
        <v>15</v>
      </c>
      <c r="AH8" t="s">
        <v>402</v>
      </c>
      <c r="AI8">
        <v>5120</v>
      </c>
      <c r="AJ8">
        <v>380.34687500000001</v>
      </c>
      <c r="AK8">
        <v>6055</v>
      </c>
      <c r="AL8">
        <v>1258</v>
      </c>
      <c r="AM8">
        <v>10141</v>
      </c>
      <c r="AN8">
        <v>4903</v>
      </c>
      <c r="AO8">
        <v>3943</v>
      </c>
      <c r="AP8">
        <v>3253</v>
      </c>
      <c r="AQ8">
        <v>1794</v>
      </c>
      <c r="AR8">
        <v>1218</v>
      </c>
      <c r="AS8">
        <v>4</v>
      </c>
      <c r="AT8">
        <v>56</v>
      </c>
      <c r="AV8" t="s">
        <v>414</v>
      </c>
      <c r="AW8">
        <v>114</v>
      </c>
      <c r="AX8">
        <v>95.657894736800003</v>
      </c>
      <c r="AY8">
        <v>159</v>
      </c>
      <c r="AZ8">
        <v>35</v>
      </c>
      <c r="BA8">
        <v>134</v>
      </c>
      <c r="BB8">
        <v>34</v>
      </c>
      <c r="BC8">
        <v>0</v>
      </c>
      <c r="BE8">
        <v>3</v>
      </c>
      <c r="BF8">
        <v>1</v>
      </c>
      <c r="BG8">
        <v>14</v>
      </c>
      <c r="BH8">
        <v>21</v>
      </c>
      <c r="BJ8" t="s">
        <v>618</v>
      </c>
      <c r="BK8" t="s">
        <v>384</v>
      </c>
      <c r="BL8">
        <v>18268</v>
      </c>
      <c r="BM8">
        <v>4231</v>
      </c>
      <c r="BN8">
        <v>95.1540945916</v>
      </c>
      <c r="BO8">
        <v>41066</v>
      </c>
      <c r="BP8">
        <v>4170</v>
      </c>
      <c r="BQ8">
        <v>143.56314225880001</v>
      </c>
      <c r="BR8">
        <v>140.3525179856</v>
      </c>
      <c r="BS8">
        <v>4743</v>
      </c>
      <c r="BT8">
        <v>1919</v>
      </c>
      <c r="BU8">
        <v>125.65064305289999</v>
      </c>
      <c r="BV8">
        <v>29735</v>
      </c>
      <c r="BW8">
        <v>3276</v>
      </c>
      <c r="BX8">
        <v>139.8461409114</v>
      </c>
      <c r="BY8">
        <v>150.53937728939999</v>
      </c>
      <c r="CA8" t="s">
        <v>402</v>
      </c>
      <c r="CB8" t="s">
        <v>766</v>
      </c>
      <c r="CC8" t="s">
        <v>993</v>
      </c>
      <c r="CD8">
        <v>5855</v>
      </c>
      <c r="CE8">
        <v>1225</v>
      </c>
      <c r="CF8">
        <v>94.294790777100005</v>
      </c>
      <c r="CG8">
        <v>18264</v>
      </c>
      <c r="CH8">
        <v>1620</v>
      </c>
      <c r="CI8">
        <v>133.171977661</v>
      </c>
      <c r="CJ8">
        <v>124.5888888889</v>
      </c>
      <c r="CL8" t="s">
        <v>402</v>
      </c>
      <c r="CM8" t="s">
        <v>747</v>
      </c>
      <c r="CN8" t="s">
        <v>748</v>
      </c>
      <c r="CO8">
        <v>360</v>
      </c>
      <c r="CP8">
        <v>39</v>
      </c>
      <c r="CQ8">
        <v>72.4777777778</v>
      </c>
      <c r="CR8">
        <v>1770</v>
      </c>
      <c r="CS8">
        <v>191</v>
      </c>
      <c r="CT8">
        <v>69.398305084699999</v>
      </c>
      <c r="CU8">
        <v>83.937172774900006</v>
      </c>
      <c r="CW8" t="s">
        <v>402</v>
      </c>
      <c r="CX8" t="s">
        <v>757</v>
      </c>
      <c r="CY8" t="s">
        <v>758</v>
      </c>
      <c r="CZ8">
        <v>169</v>
      </c>
      <c r="DA8">
        <v>22</v>
      </c>
      <c r="DB8">
        <v>69.059171597599999</v>
      </c>
      <c r="DC8">
        <v>679</v>
      </c>
      <c r="DD8">
        <v>80</v>
      </c>
      <c r="DE8">
        <v>127.33284241529999</v>
      </c>
      <c r="DF8">
        <v>94.987499999999997</v>
      </c>
      <c r="DH8" t="s">
        <v>402</v>
      </c>
      <c r="DI8" t="s">
        <v>737</v>
      </c>
      <c r="DJ8" t="s">
        <v>738</v>
      </c>
      <c r="DK8">
        <v>283</v>
      </c>
      <c r="DL8">
        <v>7</v>
      </c>
      <c r="DM8">
        <v>47.2756183746</v>
      </c>
      <c r="DN8">
        <v>990</v>
      </c>
      <c r="DO8">
        <v>80</v>
      </c>
      <c r="DP8">
        <v>113.6575757576</v>
      </c>
      <c r="DQ8">
        <v>103.3125</v>
      </c>
    </row>
    <row r="9" spans="2:121" x14ac:dyDescent="0.2">
      <c r="B9" t="s">
        <v>20</v>
      </c>
      <c r="C9">
        <v>330</v>
      </c>
      <c r="D9">
        <v>161</v>
      </c>
      <c r="F9" t="s">
        <v>75</v>
      </c>
      <c r="G9">
        <v>3272</v>
      </c>
      <c r="H9">
        <v>226.07793398530001</v>
      </c>
      <c r="I9">
        <v>6373</v>
      </c>
      <c r="J9">
        <v>1231</v>
      </c>
      <c r="K9">
        <v>6845</v>
      </c>
      <c r="L9">
        <v>2831</v>
      </c>
      <c r="M9">
        <v>2080</v>
      </c>
      <c r="N9">
        <v>1767</v>
      </c>
      <c r="O9">
        <v>1240</v>
      </c>
      <c r="P9">
        <v>1017</v>
      </c>
      <c r="Q9">
        <v>0</v>
      </c>
      <c r="R9">
        <v>52</v>
      </c>
      <c r="AH9" t="s">
        <v>372</v>
      </c>
      <c r="AI9">
        <v>681</v>
      </c>
      <c r="AJ9">
        <v>281.63289280470002</v>
      </c>
      <c r="AK9">
        <v>1890</v>
      </c>
      <c r="AL9">
        <v>307</v>
      </c>
      <c r="AM9">
        <v>2554</v>
      </c>
      <c r="AN9">
        <v>761</v>
      </c>
      <c r="AO9">
        <v>592</v>
      </c>
      <c r="AP9">
        <v>366</v>
      </c>
      <c r="AQ9">
        <v>1115</v>
      </c>
      <c r="AR9">
        <v>848</v>
      </c>
      <c r="AS9">
        <v>310</v>
      </c>
      <c r="AT9">
        <v>5</v>
      </c>
      <c r="AV9" t="s">
        <v>420</v>
      </c>
      <c r="AW9">
        <v>18</v>
      </c>
      <c r="AX9">
        <v>54.055555555600002</v>
      </c>
      <c r="AY9">
        <v>26</v>
      </c>
      <c r="BA9">
        <v>37</v>
      </c>
      <c r="BB9">
        <v>6</v>
      </c>
      <c r="BC9">
        <v>0</v>
      </c>
      <c r="BE9">
        <v>0</v>
      </c>
      <c r="BG9">
        <v>66</v>
      </c>
      <c r="BH9">
        <v>7</v>
      </c>
      <c r="BJ9" t="s">
        <v>554</v>
      </c>
      <c r="BK9" t="s">
        <v>384</v>
      </c>
      <c r="BL9">
        <v>4700</v>
      </c>
      <c r="BM9">
        <v>1477</v>
      </c>
      <c r="BN9">
        <v>121.6212765957</v>
      </c>
      <c r="BO9">
        <v>8991</v>
      </c>
      <c r="BP9">
        <v>935</v>
      </c>
      <c r="BQ9">
        <v>164.682460238</v>
      </c>
      <c r="BR9">
        <v>192.49839572190001</v>
      </c>
      <c r="BS9">
        <v>1806</v>
      </c>
      <c r="BT9">
        <v>683</v>
      </c>
      <c r="BU9">
        <v>137.6650055371</v>
      </c>
      <c r="BV9">
        <v>12412</v>
      </c>
      <c r="BW9">
        <v>1554</v>
      </c>
      <c r="BX9">
        <v>157.51144054139999</v>
      </c>
      <c r="BY9">
        <v>162.35907335909999</v>
      </c>
      <c r="CA9" t="s">
        <v>386</v>
      </c>
      <c r="CB9" t="s">
        <v>766</v>
      </c>
      <c r="CC9" t="s">
        <v>994</v>
      </c>
      <c r="CD9">
        <v>5447</v>
      </c>
      <c r="CE9">
        <v>1028</v>
      </c>
      <c r="CF9">
        <v>88.109601615599999</v>
      </c>
      <c r="CG9">
        <v>15916</v>
      </c>
      <c r="CH9">
        <v>1619</v>
      </c>
      <c r="CI9">
        <v>132.74509927119999</v>
      </c>
      <c r="CJ9">
        <v>129.48424953680001</v>
      </c>
      <c r="CL9" t="s">
        <v>386</v>
      </c>
      <c r="CM9" t="s">
        <v>747</v>
      </c>
      <c r="CN9" t="s">
        <v>749</v>
      </c>
      <c r="CO9">
        <v>416</v>
      </c>
      <c r="CP9">
        <v>60</v>
      </c>
      <c r="CQ9">
        <v>74.545673076900002</v>
      </c>
      <c r="CR9">
        <v>2343</v>
      </c>
      <c r="CS9">
        <v>232</v>
      </c>
      <c r="CT9">
        <v>66.9995731968</v>
      </c>
      <c r="CU9">
        <v>64.982758620699997</v>
      </c>
      <c r="CW9" t="s">
        <v>386</v>
      </c>
      <c r="CX9" t="s">
        <v>757</v>
      </c>
      <c r="CY9" t="s">
        <v>759</v>
      </c>
      <c r="CZ9">
        <v>71</v>
      </c>
      <c r="DA9">
        <v>11</v>
      </c>
      <c r="DB9">
        <v>65.830985915499994</v>
      </c>
      <c r="DC9">
        <v>190</v>
      </c>
      <c r="DD9">
        <v>28</v>
      </c>
      <c r="DE9">
        <v>133.70526315789999</v>
      </c>
      <c r="DF9">
        <v>126.2142857143</v>
      </c>
      <c r="DH9" t="s">
        <v>386</v>
      </c>
      <c r="DI9" t="s">
        <v>737</v>
      </c>
      <c r="DJ9" t="s">
        <v>739</v>
      </c>
      <c r="DK9">
        <v>93</v>
      </c>
      <c r="DL9">
        <v>9</v>
      </c>
      <c r="DM9">
        <v>71.344086021500004</v>
      </c>
      <c r="DN9">
        <v>349</v>
      </c>
      <c r="DO9">
        <v>28</v>
      </c>
      <c r="DP9">
        <v>118.4899713467</v>
      </c>
      <c r="DQ9">
        <v>118.75</v>
      </c>
    </row>
    <row r="10" spans="2:121" x14ac:dyDescent="0.2">
      <c r="B10" t="s">
        <v>121</v>
      </c>
      <c r="C10">
        <v>899</v>
      </c>
      <c r="D10">
        <v>393</v>
      </c>
      <c r="F10" t="s">
        <v>77</v>
      </c>
      <c r="G10">
        <v>15817</v>
      </c>
      <c r="H10">
        <v>325.66719352600001</v>
      </c>
      <c r="I10">
        <v>23832</v>
      </c>
      <c r="J10">
        <v>5293</v>
      </c>
      <c r="K10">
        <v>24704</v>
      </c>
      <c r="L10">
        <v>13148</v>
      </c>
      <c r="M10">
        <v>5039</v>
      </c>
      <c r="N10">
        <v>4004</v>
      </c>
      <c r="O10">
        <v>13329</v>
      </c>
      <c r="P10">
        <v>9933</v>
      </c>
      <c r="Q10">
        <v>7</v>
      </c>
      <c r="R10">
        <v>289</v>
      </c>
      <c r="AH10" t="s">
        <v>422</v>
      </c>
      <c r="AI10">
        <v>681</v>
      </c>
      <c r="AJ10">
        <v>399.08370044050002</v>
      </c>
      <c r="AK10">
        <v>1022</v>
      </c>
      <c r="AL10">
        <v>213</v>
      </c>
      <c r="AM10">
        <v>1297</v>
      </c>
      <c r="AN10">
        <v>606</v>
      </c>
      <c r="AO10">
        <v>262</v>
      </c>
      <c r="AP10">
        <v>184</v>
      </c>
      <c r="AQ10">
        <v>400</v>
      </c>
      <c r="AR10">
        <v>246</v>
      </c>
      <c r="AS10">
        <v>77</v>
      </c>
      <c r="AT10">
        <v>0</v>
      </c>
      <c r="AV10" t="s">
        <v>374</v>
      </c>
      <c r="AW10">
        <v>1546</v>
      </c>
      <c r="AX10">
        <v>101.18628719279999</v>
      </c>
      <c r="AY10">
        <v>2437</v>
      </c>
      <c r="AZ10">
        <v>425</v>
      </c>
      <c r="BA10">
        <v>2176</v>
      </c>
      <c r="BB10">
        <v>646</v>
      </c>
      <c r="BC10">
        <v>2</v>
      </c>
      <c r="BD10">
        <v>1</v>
      </c>
      <c r="BE10">
        <v>122</v>
      </c>
      <c r="BF10">
        <v>27</v>
      </c>
      <c r="BG10">
        <v>186</v>
      </c>
      <c r="BH10">
        <v>329</v>
      </c>
      <c r="BJ10" t="s">
        <v>606</v>
      </c>
      <c r="BK10" t="s">
        <v>384</v>
      </c>
      <c r="BL10">
        <v>3699</v>
      </c>
      <c r="BM10">
        <v>447</v>
      </c>
      <c r="BN10">
        <v>76.371451743700007</v>
      </c>
      <c r="BO10">
        <v>10610</v>
      </c>
      <c r="BP10">
        <v>919</v>
      </c>
      <c r="BQ10">
        <v>116.21677662579999</v>
      </c>
      <c r="BR10">
        <v>118.1099020675</v>
      </c>
      <c r="BS10">
        <v>1636</v>
      </c>
      <c r="BT10">
        <v>156</v>
      </c>
      <c r="BU10">
        <v>77.271393642999996</v>
      </c>
      <c r="BV10">
        <v>12480</v>
      </c>
      <c r="BW10">
        <v>1315</v>
      </c>
      <c r="BX10">
        <v>122.6590544872</v>
      </c>
      <c r="BY10">
        <v>123.2600760456</v>
      </c>
      <c r="CA10" t="s">
        <v>388</v>
      </c>
      <c r="CB10" t="s">
        <v>766</v>
      </c>
      <c r="CC10" t="s">
        <v>995</v>
      </c>
      <c r="CD10">
        <v>4822</v>
      </c>
      <c r="CE10">
        <v>1498</v>
      </c>
      <c r="CF10">
        <v>119.84384073</v>
      </c>
      <c r="CG10">
        <v>10064</v>
      </c>
      <c r="CH10">
        <v>966</v>
      </c>
      <c r="CI10">
        <v>159.09767488080001</v>
      </c>
      <c r="CJ10">
        <v>176.58902691509999</v>
      </c>
      <c r="CL10" t="s">
        <v>388</v>
      </c>
      <c r="CM10" t="s">
        <v>747</v>
      </c>
      <c r="CN10" t="s">
        <v>750</v>
      </c>
      <c r="CO10">
        <v>334</v>
      </c>
      <c r="CP10">
        <v>51</v>
      </c>
      <c r="CQ10">
        <v>74.790419161700001</v>
      </c>
      <c r="CR10">
        <v>1684</v>
      </c>
      <c r="CS10">
        <v>130</v>
      </c>
      <c r="CT10">
        <v>76.296318289799999</v>
      </c>
      <c r="CU10">
        <v>86.623076923100001</v>
      </c>
      <c r="CW10" t="s">
        <v>388</v>
      </c>
      <c r="CX10" t="s">
        <v>757</v>
      </c>
      <c r="CY10" t="s">
        <v>760</v>
      </c>
      <c r="CZ10">
        <v>53</v>
      </c>
      <c r="DA10">
        <v>14</v>
      </c>
      <c r="DB10">
        <v>102.11320754720001</v>
      </c>
      <c r="DC10">
        <v>166</v>
      </c>
      <c r="DD10">
        <v>18</v>
      </c>
      <c r="DE10">
        <v>142.1265060241</v>
      </c>
      <c r="DF10">
        <v>124.55555555559999</v>
      </c>
      <c r="DH10" t="s">
        <v>388</v>
      </c>
      <c r="DI10" t="s">
        <v>737</v>
      </c>
      <c r="DJ10" t="s">
        <v>740</v>
      </c>
      <c r="DK10">
        <v>43</v>
      </c>
      <c r="DL10">
        <v>8</v>
      </c>
      <c r="DM10">
        <v>86.697674418600002</v>
      </c>
      <c r="DN10">
        <v>193</v>
      </c>
      <c r="DO10">
        <v>28</v>
      </c>
      <c r="DP10">
        <v>127.3626943005</v>
      </c>
      <c r="DQ10">
        <v>94.428571428599994</v>
      </c>
    </row>
    <row r="11" spans="2:121" x14ac:dyDescent="0.2">
      <c r="B11" t="s">
        <v>97</v>
      </c>
      <c r="C11">
        <v>119</v>
      </c>
      <c r="D11">
        <v>74</v>
      </c>
      <c r="F11" t="s">
        <v>66</v>
      </c>
      <c r="G11">
        <v>5384</v>
      </c>
      <c r="H11">
        <v>391.28491827639999</v>
      </c>
      <c r="I11">
        <v>4732</v>
      </c>
      <c r="J11">
        <v>918</v>
      </c>
      <c r="K11">
        <v>8130</v>
      </c>
      <c r="L11">
        <v>4618</v>
      </c>
      <c r="M11">
        <v>3201</v>
      </c>
      <c r="N11">
        <v>2791</v>
      </c>
      <c r="O11">
        <v>2221</v>
      </c>
      <c r="P11">
        <v>1666</v>
      </c>
      <c r="Q11">
        <v>0</v>
      </c>
      <c r="R11">
        <v>106</v>
      </c>
      <c r="AH11" t="s">
        <v>413</v>
      </c>
      <c r="AI11">
        <v>407</v>
      </c>
      <c r="AJ11">
        <v>591.50614250609999</v>
      </c>
      <c r="AK11">
        <v>461</v>
      </c>
      <c r="AL11">
        <v>101</v>
      </c>
      <c r="AM11">
        <v>755</v>
      </c>
      <c r="AN11">
        <v>377</v>
      </c>
      <c r="AO11">
        <v>203</v>
      </c>
      <c r="AP11">
        <v>173</v>
      </c>
      <c r="AQ11">
        <v>377</v>
      </c>
      <c r="AR11">
        <v>286</v>
      </c>
      <c r="AS11">
        <v>27</v>
      </c>
      <c r="AT11">
        <v>0</v>
      </c>
      <c r="AV11" t="s">
        <v>425</v>
      </c>
      <c r="AW11">
        <v>259</v>
      </c>
      <c r="AX11">
        <v>64.961389961400002</v>
      </c>
      <c r="AY11">
        <v>415</v>
      </c>
      <c r="AZ11">
        <v>26</v>
      </c>
      <c r="BA11">
        <v>438</v>
      </c>
      <c r="BB11">
        <v>49</v>
      </c>
      <c r="BC11">
        <v>0</v>
      </c>
      <c r="BE11">
        <v>20</v>
      </c>
      <c r="BF11">
        <v>7</v>
      </c>
      <c r="BG11">
        <v>468</v>
      </c>
      <c r="BH11">
        <v>120</v>
      </c>
      <c r="BJ11" t="s">
        <v>608</v>
      </c>
      <c r="BK11" t="s">
        <v>384</v>
      </c>
      <c r="BL11">
        <v>5754</v>
      </c>
      <c r="BM11">
        <v>510</v>
      </c>
      <c r="BN11">
        <v>64.719847062900001</v>
      </c>
      <c r="BO11">
        <v>21891</v>
      </c>
      <c r="BP11">
        <v>1757</v>
      </c>
      <c r="BQ11">
        <v>108.66575304920001</v>
      </c>
      <c r="BR11">
        <v>88.746727376199999</v>
      </c>
      <c r="BS11">
        <v>2920</v>
      </c>
      <c r="BT11">
        <v>453</v>
      </c>
      <c r="BU11">
        <v>86.289383561600005</v>
      </c>
      <c r="BV11">
        <v>28831</v>
      </c>
      <c r="BW11">
        <v>3350</v>
      </c>
      <c r="BX11">
        <v>115.22624952309999</v>
      </c>
      <c r="BY11">
        <v>87.041791044799993</v>
      </c>
      <c r="CA11" t="s">
        <v>417</v>
      </c>
      <c r="CB11" t="s">
        <v>766</v>
      </c>
      <c r="CC11" t="s">
        <v>996</v>
      </c>
      <c r="CD11">
        <v>730</v>
      </c>
      <c r="CE11">
        <v>57</v>
      </c>
      <c r="CF11">
        <v>61.601369863000002</v>
      </c>
      <c r="CG11">
        <v>3394</v>
      </c>
      <c r="CH11">
        <v>276</v>
      </c>
      <c r="CI11">
        <v>83.642604596300004</v>
      </c>
      <c r="CJ11">
        <v>75.8007246377</v>
      </c>
      <c r="CL11" t="s">
        <v>417</v>
      </c>
      <c r="CM11" t="s">
        <v>747</v>
      </c>
      <c r="CN11" t="s">
        <v>751</v>
      </c>
      <c r="CO11">
        <v>86</v>
      </c>
      <c r="CP11">
        <v>4</v>
      </c>
      <c r="CQ11">
        <v>54.4418604651</v>
      </c>
      <c r="CR11">
        <v>515</v>
      </c>
      <c r="CS11">
        <v>38</v>
      </c>
      <c r="CT11">
        <v>61.0718446602</v>
      </c>
      <c r="CU11">
        <v>71.236842105299999</v>
      </c>
      <c r="CW11" t="s">
        <v>417</v>
      </c>
      <c r="CX11" t="s">
        <v>757</v>
      </c>
      <c r="CY11" t="s">
        <v>761</v>
      </c>
      <c r="CZ11">
        <v>10</v>
      </c>
      <c r="DA11">
        <v>1</v>
      </c>
      <c r="DB11">
        <v>41.7</v>
      </c>
      <c r="DC11">
        <v>62</v>
      </c>
      <c r="DD11">
        <v>2</v>
      </c>
      <c r="DE11">
        <v>132.6612903226</v>
      </c>
      <c r="DF11">
        <v>102</v>
      </c>
      <c r="DH11" t="s">
        <v>417</v>
      </c>
      <c r="DI11" t="s">
        <v>737</v>
      </c>
      <c r="DJ11" t="s">
        <v>741</v>
      </c>
      <c r="DK11">
        <v>15</v>
      </c>
      <c r="DL11">
        <v>1</v>
      </c>
      <c r="DM11">
        <v>59.4</v>
      </c>
      <c r="DN11">
        <v>44</v>
      </c>
      <c r="DO11">
        <v>4</v>
      </c>
      <c r="DP11">
        <v>114.20454545450001</v>
      </c>
      <c r="DQ11">
        <v>91</v>
      </c>
    </row>
    <row r="12" spans="2:121" x14ac:dyDescent="0.2">
      <c r="B12" t="s">
        <v>22</v>
      </c>
      <c r="C12">
        <v>212096</v>
      </c>
      <c r="D12">
        <v>40521</v>
      </c>
      <c r="F12" t="s">
        <v>70</v>
      </c>
      <c r="G12">
        <v>2920</v>
      </c>
      <c r="H12">
        <v>253.6294520548</v>
      </c>
      <c r="I12">
        <v>3137</v>
      </c>
      <c r="J12">
        <v>428</v>
      </c>
      <c r="K12">
        <v>6430</v>
      </c>
      <c r="L12">
        <v>2556</v>
      </c>
      <c r="M12">
        <v>1393</v>
      </c>
      <c r="N12">
        <v>705</v>
      </c>
      <c r="O12">
        <v>461</v>
      </c>
      <c r="P12">
        <v>236</v>
      </c>
      <c r="Q12">
        <v>0</v>
      </c>
      <c r="R12">
        <v>2</v>
      </c>
      <c r="T12" t="s">
        <v>647</v>
      </c>
      <c r="U12" t="s">
        <v>306</v>
      </c>
      <c r="V12" t="s">
        <v>133</v>
      </c>
      <c r="W12" t="s">
        <v>214</v>
      </c>
      <c r="X12" t="s">
        <v>215</v>
      </c>
      <c r="Y12" t="s">
        <v>216</v>
      </c>
      <c r="Z12" t="s">
        <v>217</v>
      </c>
      <c r="AA12" t="s">
        <v>218</v>
      </c>
      <c r="AB12" t="s">
        <v>219</v>
      </c>
      <c r="AC12" t="s">
        <v>220</v>
      </c>
      <c r="AD12" t="s">
        <v>221</v>
      </c>
      <c r="AE12" t="s">
        <v>222</v>
      </c>
      <c r="AF12" t="s">
        <v>223</v>
      </c>
      <c r="AH12" t="s">
        <v>424</v>
      </c>
      <c r="AI12">
        <v>18597</v>
      </c>
      <c r="AJ12">
        <v>338.44636231649997</v>
      </c>
      <c r="AK12">
        <v>26124</v>
      </c>
      <c r="AL12">
        <v>6013</v>
      </c>
      <c r="AM12">
        <v>31830</v>
      </c>
      <c r="AN12">
        <v>17392</v>
      </c>
      <c r="AO12">
        <v>7898</v>
      </c>
      <c r="AP12">
        <v>6161</v>
      </c>
      <c r="AQ12">
        <v>18866</v>
      </c>
      <c r="AR12">
        <v>13436</v>
      </c>
      <c r="AS12">
        <v>2300</v>
      </c>
      <c r="AT12">
        <v>316</v>
      </c>
      <c r="AV12" t="s">
        <v>388</v>
      </c>
      <c r="AW12">
        <v>216</v>
      </c>
      <c r="AX12">
        <v>68.342592592599999</v>
      </c>
      <c r="AY12">
        <v>306</v>
      </c>
      <c r="AZ12">
        <v>32</v>
      </c>
      <c r="BA12">
        <v>328</v>
      </c>
      <c r="BB12">
        <v>49</v>
      </c>
      <c r="BC12">
        <v>4</v>
      </c>
      <c r="BD12">
        <v>4</v>
      </c>
      <c r="BE12">
        <v>31</v>
      </c>
      <c r="BF12">
        <v>7</v>
      </c>
      <c r="BG12">
        <v>77</v>
      </c>
      <c r="BH12">
        <v>29</v>
      </c>
      <c r="BJ12" t="s">
        <v>550</v>
      </c>
      <c r="BK12" t="s">
        <v>384</v>
      </c>
      <c r="BL12">
        <v>5047</v>
      </c>
      <c r="BM12">
        <v>988</v>
      </c>
      <c r="BN12">
        <v>90.798692292499993</v>
      </c>
      <c r="BO12">
        <v>14903</v>
      </c>
      <c r="BP12">
        <v>1525</v>
      </c>
      <c r="BQ12">
        <v>137.45521036029999</v>
      </c>
      <c r="BR12">
        <v>132.47606557380001</v>
      </c>
      <c r="BS12">
        <v>906</v>
      </c>
      <c r="BT12">
        <v>291</v>
      </c>
      <c r="BU12">
        <v>112.2041942605</v>
      </c>
      <c r="BV12">
        <v>11785</v>
      </c>
      <c r="BW12">
        <v>1560</v>
      </c>
      <c r="BX12">
        <v>139.88994484509999</v>
      </c>
      <c r="BY12">
        <v>136.85</v>
      </c>
      <c r="CA12" t="s">
        <v>411</v>
      </c>
      <c r="CB12" t="s">
        <v>766</v>
      </c>
      <c r="CC12" t="s">
        <v>997</v>
      </c>
      <c r="CD12">
        <v>5765</v>
      </c>
      <c r="CE12">
        <v>536</v>
      </c>
      <c r="CF12">
        <v>65.030008672999998</v>
      </c>
      <c r="CG12">
        <v>22122</v>
      </c>
      <c r="CH12">
        <v>1789</v>
      </c>
      <c r="CI12">
        <v>96.208163818800003</v>
      </c>
      <c r="CJ12">
        <v>85.3124650643</v>
      </c>
      <c r="CL12" t="s">
        <v>411</v>
      </c>
      <c r="CM12" t="s">
        <v>747</v>
      </c>
      <c r="CN12" t="s">
        <v>752</v>
      </c>
      <c r="CO12">
        <v>459</v>
      </c>
      <c r="CP12">
        <v>37</v>
      </c>
      <c r="CQ12">
        <v>63.675381263600002</v>
      </c>
      <c r="CR12">
        <v>2514</v>
      </c>
      <c r="CS12">
        <v>233</v>
      </c>
      <c r="CT12">
        <v>66.745027844099994</v>
      </c>
      <c r="CU12">
        <v>70.549356223199993</v>
      </c>
      <c r="CW12" t="s">
        <v>411</v>
      </c>
      <c r="CX12" t="s">
        <v>757</v>
      </c>
      <c r="CY12" t="s">
        <v>762</v>
      </c>
      <c r="CZ12">
        <v>73</v>
      </c>
      <c r="DA12">
        <v>7</v>
      </c>
      <c r="DB12">
        <v>59.945205479499997</v>
      </c>
      <c r="DC12">
        <v>296</v>
      </c>
      <c r="DD12">
        <v>31</v>
      </c>
      <c r="DE12">
        <v>124.5236486486</v>
      </c>
      <c r="DF12">
        <v>110.9032258065</v>
      </c>
      <c r="DH12" t="s">
        <v>411</v>
      </c>
      <c r="DI12" t="s">
        <v>737</v>
      </c>
      <c r="DJ12" t="s">
        <v>742</v>
      </c>
      <c r="DK12">
        <v>139</v>
      </c>
      <c r="DL12">
        <v>12</v>
      </c>
      <c r="DM12">
        <v>66.640287769799997</v>
      </c>
      <c r="DN12">
        <v>475</v>
      </c>
      <c r="DO12">
        <v>31</v>
      </c>
      <c r="DP12">
        <v>114.8105263158</v>
      </c>
      <c r="DQ12">
        <v>106.67741935479999</v>
      </c>
    </row>
    <row r="13" spans="2:121" x14ac:dyDescent="0.2">
      <c r="B13" t="s">
        <v>112</v>
      </c>
      <c r="C13">
        <v>7003</v>
      </c>
      <c r="D13">
        <v>531</v>
      </c>
      <c r="F13" t="s">
        <v>45</v>
      </c>
      <c r="G13">
        <v>1104</v>
      </c>
      <c r="H13">
        <v>218.2735507246</v>
      </c>
      <c r="I13">
        <v>2465</v>
      </c>
      <c r="J13">
        <v>370</v>
      </c>
      <c r="K13">
        <v>2244</v>
      </c>
      <c r="L13">
        <v>663</v>
      </c>
      <c r="M13">
        <v>937</v>
      </c>
      <c r="N13">
        <v>499</v>
      </c>
      <c r="O13">
        <v>199</v>
      </c>
      <c r="P13">
        <v>104</v>
      </c>
      <c r="Q13">
        <v>0</v>
      </c>
      <c r="R13">
        <v>0</v>
      </c>
      <c r="T13" t="s">
        <v>384</v>
      </c>
      <c r="U13">
        <v>38671</v>
      </c>
      <c r="V13">
        <v>335.84207804300001</v>
      </c>
      <c r="W13">
        <v>64699</v>
      </c>
      <c r="X13">
        <v>12967</v>
      </c>
      <c r="Y13">
        <v>78614</v>
      </c>
      <c r="Z13">
        <v>35051</v>
      </c>
      <c r="AA13">
        <v>21364</v>
      </c>
      <c r="AB13">
        <v>15196</v>
      </c>
      <c r="AC13">
        <v>19259</v>
      </c>
      <c r="AD13">
        <v>11769</v>
      </c>
      <c r="AE13">
        <v>56</v>
      </c>
      <c r="AF13">
        <v>1184</v>
      </c>
      <c r="AH13" t="s">
        <v>380</v>
      </c>
      <c r="AI13">
        <v>13376</v>
      </c>
      <c r="AJ13">
        <v>358.71703050240001</v>
      </c>
      <c r="AK13">
        <v>19323</v>
      </c>
      <c r="AL13">
        <v>5207</v>
      </c>
      <c r="AM13">
        <v>24120</v>
      </c>
      <c r="AN13">
        <v>13484</v>
      </c>
      <c r="AO13">
        <v>8732</v>
      </c>
      <c r="AP13">
        <v>7230</v>
      </c>
      <c r="AQ13">
        <v>10281</v>
      </c>
      <c r="AR13">
        <v>7627</v>
      </c>
      <c r="AS13">
        <v>1135</v>
      </c>
      <c r="AT13">
        <v>41</v>
      </c>
      <c r="AV13" t="s">
        <v>371</v>
      </c>
      <c r="AW13">
        <v>96</v>
      </c>
      <c r="AX13">
        <v>90.5</v>
      </c>
      <c r="AY13">
        <v>138</v>
      </c>
      <c r="AZ13">
        <v>24</v>
      </c>
      <c r="BA13">
        <v>121</v>
      </c>
      <c r="BB13">
        <v>37</v>
      </c>
      <c r="BC13">
        <v>0</v>
      </c>
      <c r="BE13">
        <v>10</v>
      </c>
      <c r="BF13">
        <v>3</v>
      </c>
      <c r="BG13">
        <v>14</v>
      </c>
      <c r="BH13">
        <v>15</v>
      </c>
      <c r="BJ13" t="s">
        <v>587</v>
      </c>
      <c r="BK13" t="s">
        <v>384</v>
      </c>
      <c r="BL13">
        <v>3154</v>
      </c>
      <c r="BM13">
        <v>423</v>
      </c>
      <c r="BN13">
        <v>79.395053899800004</v>
      </c>
      <c r="BO13">
        <v>5788</v>
      </c>
      <c r="BP13">
        <v>855</v>
      </c>
      <c r="BQ13">
        <v>131.50932964750001</v>
      </c>
      <c r="BR13">
        <v>122.77426900579999</v>
      </c>
      <c r="BS13">
        <v>1870</v>
      </c>
      <c r="BT13">
        <v>355</v>
      </c>
      <c r="BU13">
        <v>91.788235294100005</v>
      </c>
      <c r="BV13">
        <v>10117</v>
      </c>
      <c r="BW13">
        <v>1194</v>
      </c>
      <c r="BX13">
        <v>141.24671345260001</v>
      </c>
      <c r="BY13">
        <v>124.14154103849999</v>
      </c>
      <c r="CA13" t="s">
        <v>409</v>
      </c>
      <c r="CB13" t="s">
        <v>766</v>
      </c>
      <c r="CC13" t="s">
        <v>998</v>
      </c>
      <c r="CD13">
        <v>36605</v>
      </c>
      <c r="CE13">
        <v>7362</v>
      </c>
      <c r="CF13">
        <v>89.042371260799996</v>
      </c>
      <c r="CG13">
        <v>94863</v>
      </c>
      <c r="CH13">
        <v>9348</v>
      </c>
      <c r="CI13">
        <v>129.5502250614</v>
      </c>
      <c r="CJ13">
        <v>125.0210740265</v>
      </c>
      <c r="CL13" t="s">
        <v>409</v>
      </c>
      <c r="CM13" t="s">
        <v>747</v>
      </c>
      <c r="CN13" t="s">
        <v>753</v>
      </c>
      <c r="CO13">
        <v>1893</v>
      </c>
      <c r="CP13">
        <v>160</v>
      </c>
      <c r="CQ13">
        <v>60.893291072399997</v>
      </c>
      <c r="CR13">
        <v>10109</v>
      </c>
      <c r="CS13">
        <v>980</v>
      </c>
      <c r="CT13">
        <v>68.220001978400006</v>
      </c>
      <c r="CU13">
        <v>73.287755102000006</v>
      </c>
      <c r="CW13" t="s">
        <v>409</v>
      </c>
      <c r="CX13" t="s">
        <v>757</v>
      </c>
      <c r="CY13" t="s">
        <v>763</v>
      </c>
      <c r="CZ13">
        <v>800</v>
      </c>
      <c r="DA13">
        <v>111</v>
      </c>
      <c r="DB13">
        <v>70.498750000000001</v>
      </c>
      <c r="DC13">
        <v>2650</v>
      </c>
      <c r="DD13">
        <v>300</v>
      </c>
      <c r="DE13">
        <v>131.04415094340001</v>
      </c>
      <c r="DF13">
        <v>111.96</v>
      </c>
      <c r="DH13" t="s">
        <v>409</v>
      </c>
      <c r="DI13" t="s">
        <v>737</v>
      </c>
      <c r="DJ13" t="s">
        <v>743</v>
      </c>
      <c r="DK13">
        <v>816</v>
      </c>
      <c r="DL13">
        <v>105</v>
      </c>
      <c r="DM13">
        <v>72.796568627499994</v>
      </c>
      <c r="DN13">
        <v>2719</v>
      </c>
      <c r="DO13">
        <v>219</v>
      </c>
      <c r="DP13">
        <v>125.09819786689999</v>
      </c>
      <c r="DQ13">
        <v>116.47945205480001</v>
      </c>
    </row>
    <row r="14" spans="2:121" x14ac:dyDescent="0.2">
      <c r="B14" t="s">
        <v>113</v>
      </c>
      <c r="C14">
        <v>15417</v>
      </c>
      <c r="D14">
        <v>3017</v>
      </c>
      <c r="F14" t="s">
        <v>32</v>
      </c>
      <c r="G14">
        <v>2030</v>
      </c>
      <c r="H14">
        <v>528.22512315270001</v>
      </c>
      <c r="I14">
        <v>1046</v>
      </c>
      <c r="J14">
        <v>287</v>
      </c>
      <c r="K14">
        <v>3126</v>
      </c>
      <c r="L14">
        <v>2213</v>
      </c>
      <c r="M14">
        <v>1544</v>
      </c>
      <c r="N14">
        <v>1265</v>
      </c>
      <c r="O14">
        <v>196</v>
      </c>
      <c r="P14">
        <v>165</v>
      </c>
      <c r="Q14">
        <v>0</v>
      </c>
      <c r="R14">
        <v>3</v>
      </c>
      <c r="T14" t="s">
        <v>389</v>
      </c>
      <c r="U14">
        <v>32154</v>
      </c>
      <c r="V14">
        <v>324.26251788270002</v>
      </c>
      <c r="W14">
        <v>59931</v>
      </c>
      <c r="X14">
        <v>11234</v>
      </c>
      <c r="Y14">
        <v>73569</v>
      </c>
      <c r="Z14">
        <v>28825</v>
      </c>
      <c r="AA14">
        <v>19302</v>
      </c>
      <c r="AB14">
        <v>14893</v>
      </c>
      <c r="AC14">
        <v>12179</v>
      </c>
      <c r="AD14">
        <v>8344</v>
      </c>
      <c r="AE14">
        <v>8891</v>
      </c>
      <c r="AF14">
        <v>1099</v>
      </c>
      <c r="AH14" t="s">
        <v>427</v>
      </c>
      <c r="AI14">
        <v>1001</v>
      </c>
      <c r="AJ14">
        <v>265.83516483519998</v>
      </c>
      <c r="AK14">
        <v>2060</v>
      </c>
      <c r="AL14">
        <v>283</v>
      </c>
      <c r="AM14">
        <v>2182</v>
      </c>
      <c r="AN14">
        <v>784</v>
      </c>
      <c r="AO14">
        <v>1056</v>
      </c>
      <c r="AP14">
        <v>579</v>
      </c>
      <c r="AQ14">
        <v>610</v>
      </c>
      <c r="AR14">
        <v>376</v>
      </c>
      <c r="AS14">
        <v>2</v>
      </c>
      <c r="AT14">
        <v>4</v>
      </c>
      <c r="AV14" t="s">
        <v>394</v>
      </c>
      <c r="AW14">
        <v>540</v>
      </c>
      <c r="AX14">
        <v>58.822222222199997</v>
      </c>
      <c r="AY14">
        <v>1055</v>
      </c>
      <c r="AZ14">
        <v>130</v>
      </c>
      <c r="BA14">
        <v>837</v>
      </c>
      <c r="BB14">
        <v>85</v>
      </c>
      <c r="BC14">
        <v>1</v>
      </c>
      <c r="BD14">
        <v>1</v>
      </c>
      <c r="BE14">
        <v>62</v>
      </c>
      <c r="BF14">
        <v>13</v>
      </c>
      <c r="BG14">
        <v>122</v>
      </c>
      <c r="BH14">
        <v>110</v>
      </c>
      <c r="BJ14" t="s">
        <v>604</v>
      </c>
      <c r="BK14" t="s">
        <v>384</v>
      </c>
      <c r="BL14">
        <v>16665</v>
      </c>
      <c r="BM14">
        <v>2938</v>
      </c>
      <c r="BN14">
        <v>83.6766876688</v>
      </c>
      <c r="BO14">
        <v>45863</v>
      </c>
      <c r="BP14">
        <v>4173</v>
      </c>
      <c r="BQ14">
        <v>130.3420404247</v>
      </c>
      <c r="BR14">
        <v>125.95974119340001</v>
      </c>
      <c r="BS14">
        <v>8581</v>
      </c>
      <c r="BT14">
        <v>1758</v>
      </c>
      <c r="BU14">
        <v>91.269898613199999</v>
      </c>
      <c r="BV14">
        <v>41632</v>
      </c>
      <c r="BW14">
        <v>3085</v>
      </c>
      <c r="BX14">
        <v>132.3879467717</v>
      </c>
      <c r="BY14">
        <v>135.5799027553</v>
      </c>
      <c r="CA14" t="s">
        <v>405</v>
      </c>
      <c r="CB14" t="s">
        <v>766</v>
      </c>
      <c r="CC14" t="s">
        <v>999</v>
      </c>
      <c r="CD14">
        <v>1777</v>
      </c>
      <c r="CE14">
        <v>425</v>
      </c>
      <c r="CF14">
        <v>95.579628587499997</v>
      </c>
      <c r="CG14">
        <v>4858</v>
      </c>
      <c r="CH14">
        <v>654</v>
      </c>
      <c r="CI14">
        <v>134.09263071219999</v>
      </c>
      <c r="CJ14">
        <v>130.44342507650001</v>
      </c>
      <c r="CL14" t="s">
        <v>405</v>
      </c>
      <c r="CM14" t="s">
        <v>747</v>
      </c>
      <c r="CN14" t="s">
        <v>754</v>
      </c>
      <c r="CO14">
        <v>168</v>
      </c>
      <c r="CP14">
        <v>17</v>
      </c>
      <c r="CQ14">
        <v>62.880952381</v>
      </c>
      <c r="CR14">
        <v>874</v>
      </c>
      <c r="CS14">
        <v>87</v>
      </c>
      <c r="CT14">
        <v>68.590389016000003</v>
      </c>
      <c r="CU14">
        <v>74.390804597699997</v>
      </c>
      <c r="CW14" t="s">
        <v>405</v>
      </c>
      <c r="CX14" t="s">
        <v>757</v>
      </c>
      <c r="CY14" t="s">
        <v>764</v>
      </c>
      <c r="CZ14">
        <v>66</v>
      </c>
      <c r="DA14">
        <v>12</v>
      </c>
      <c r="DB14">
        <v>88.515151515200003</v>
      </c>
      <c r="DC14">
        <v>138</v>
      </c>
      <c r="DD14">
        <v>17</v>
      </c>
      <c r="DE14">
        <v>137.4565217391</v>
      </c>
      <c r="DF14">
        <v>125.3529411765</v>
      </c>
      <c r="DH14" t="s">
        <v>405</v>
      </c>
      <c r="DI14" t="s">
        <v>737</v>
      </c>
      <c r="DJ14" t="s">
        <v>744</v>
      </c>
      <c r="DK14">
        <v>43</v>
      </c>
      <c r="DL14">
        <v>13</v>
      </c>
      <c r="DM14">
        <v>94.255813953499995</v>
      </c>
      <c r="DN14">
        <v>162</v>
      </c>
      <c r="DO14">
        <v>16</v>
      </c>
      <c r="DP14">
        <v>129.80246913580001</v>
      </c>
      <c r="DQ14">
        <v>144.0625</v>
      </c>
    </row>
    <row r="15" spans="2:121" x14ac:dyDescent="0.2">
      <c r="B15" t="s">
        <v>114</v>
      </c>
      <c r="C15">
        <v>6051</v>
      </c>
      <c r="D15">
        <v>374</v>
      </c>
      <c r="F15" t="s">
        <v>63</v>
      </c>
      <c r="G15">
        <v>4229</v>
      </c>
      <c r="H15">
        <v>423.61551194139997</v>
      </c>
      <c r="I15">
        <v>13888</v>
      </c>
      <c r="J15">
        <v>3639</v>
      </c>
      <c r="K15">
        <v>8384</v>
      </c>
      <c r="L15">
        <v>4423</v>
      </c>
      <c r="M15">
        <v>1721</v>
      </c>
      <c r="N15">
        <v>1449</v>
      </c>
      <c r="O15">
        <v>6984</v>
      </c>
      <c r="P15">
        <v>6361</v>
      </c>
      <c r="Q15">
        <v>14059</v>
      </c>
      <c r="R15">
        <v>0</v>
      </c>
      <c r="T15" t="s">
        <v>368</v>
      </c>
      <c r="U15">
        <v>63877</v>
      </c>
      <c r="V15">
        <v>413.69348904930001</v>
      </c>
      <c r="W15">
        <v>79271</v>
      </c>
      <c r="X15">
        <v>17865</v>
      </c>
      <c r="Y15">
        <v>110645</v>
      </c>
      <c r="Z15">
        <v>59245</v>
      </c>
      <c r="AA15">
        <v>36794</v>
      </c>
      <c r="AB15">
        <v>29220</v>
      </c>
      <c r="AC15">
        <v>28882</v>
      </c>
      <c r="AD15">
        <v>23470</v>
      </c>
      <c r="AE15">
        <v>14067</v>
      </c>
      <c r="AF15">
        <v>48</v>
      </c>
      <c r="AH15" t="s">
        <v>407</v>
      </c>
      <c r="AI15">
        <v>600</v>
      </c>
      <c r="AJ15">
        <v>206.5883333333</v>
      </c>
      <c r="AK15">
        <v>1857</v>
      </c>
      <c r="AL15">
        <v>474</v>
      </c>
      <c r="AM15">
        <v>1608</v>
      </c>
      <c r="AN15">
        <v>379</v>
      </c>
      <c r="AO15">
        <v>314</v>
      </c>
      <c r="AP15">
        <v>169</v>
      </c>
      <c r="AQ15">
        <v>476</v>
      </c>
      <c r="AR15">
        <v>298</v>
      </c>
      <c r="AS15">
        <v>1</v>
      </c>
      <c r="AT15">
        <v>6</v>
      </c>
      <c r="AV15" t="s">
        <v>426</v>
      </c>
      <c r="AW15">
        <v>1688</v>
      </c>
      <c r="AX15">
        <v>122.1457345972</v>
      </c>
      <c r="AY15">
        <v>699</v>
      </c>
      <c r="AZ15">
        <v>127</v>
      </c>
      <c r="BA15">
        <v>1930</v>
      </c>
      <c r="BB15">
        <v>865</v>
      </c>
      <c r="BC15">
        <v>2</v>
      </c>
      <c r="BD15">
        <v>2</v>
      </c>
      <c r="BE15">
        <v>14</v>
      </c>
      <c r="BF15">
        <v>8</v>
      </c>
      <c r="BG15">
        <v>86</v>
      </c>
      <c r="BH15">
        <v>79</v>
      </c>
      <c r="BJ15" t="s">
        <v>566</v>
      </c>
      <c r="BK15" t="s">
        <v>389</v>
      </c>
      <c r="BL15">
        <v>6675</v>
      </c>
      <c r="BM15">
        <v>1686</v>
      </c>
      <c r="BN15">
        <v>100.7066666667</v>
      </c>
      <c r="BO15">
        <v>17243</v>
      </c>
      <c r="BP15">
        <v>1608</v>
      </c>
      <c r="BQ15">
        <v>141.94855883549999</v>
      </c>
      <c r="BR15">
        <v>129.190920398</v>
      </c>
      <c r="BS15">
        <v>1752</v>
      </c>
      <c r="BT15">
        <v>642</v>
      </c>
      <c r="BU15">
        <v>120.2482876712</v>
      </c>
      <c r="BV15">
        <v>11750</v>
      </c>
      <c r="BW15">
        <v>1378</v>
      </c>
      <c r="BX15">
        <v>129.27914893619999</v>
      </c>
      <c r="BY15">
        <v>140.8824383164</v>
      </c>
      <c r="CA15" t="s">
        <v>420</v>
      </c>
      <c r="CB15" t="s">
        <v>766</v>
      </c>
      <c r="CC15" t="s">
        <v>1000</v>
      </c>
      <c r="CD15">
        <v>762</v>
      </c>
      <c r="CE15">
        <v>70</v>
      </c>
      <c r="CF15">
        <v>64.824146981599995</v>
      </c>
      <c r="CG15">
        <v>2517</v>
      </c>
      <c r="CH15">
        <v>216</v>
      </c>
      <c r="CI15">
        <v>117.9002781089</v>
      </c>
      <c r="CJ15">
        <v>106.037037037</v>
      </c>
      <c r="CL15" t="s">
        <v>420</v>
      </c>
      <c r="CM15" t="s">
        <v>747</v>
      </c>
      <c r="CN15" t="s">
        <v>755</v>
      </c>
      <c r="CO15">
        <v>21</v>
      </c>
      <c r="CP15">
        <v>2</v>
      </c>
      <c r="CQ15">
        <v>59.904761904799997</v>
      </c>
      <c r="CR15">
        <v>163</v>
      </c>
      <c r="CS15">
        <v>16</v>
      </c>
      <c r="CT15">
        <v>60.073619631900002</v>
      </c>
      <c r="CU15">
        <v>60.75</v>
      </c>
      <c r="CW15" t="s">
        <v>420</v>
      </c>
      <c r="CX15" t="s">
        <v>757</v>
      </c>
      <c r="CY15" t="s">
        <v>765</v>
      </c>
      <c r="CZ15">
        <v>13</v>
      </c>
      <c r="DA15">
        <v>1</v>
      </c>
      <c r="DB15">
        <v>47.615384615399996</v>
      </c>
      <c r="DC15">
        <v>42</v>
      </c>
      <c r="DD15">
        <v>0</v>
      </c>
      <c r="DE15">
        <v>141.26190476190001</v>
      </c>
      <c r="DF15">
        <v>0</v>
      </c>
      <c r="DH15" t="s">
        <v>420</v>
      </c>
      <c r="DI15" t="s">
        <v>737</v>
      </c>
      <c r="DJ15" t="s">
        <v>745</v>
      </c>
      <c r="DK15">
        <v>6</v>
      </c>
      <c r="DL15">
        <v>0</v>
      </c>
      <c r="DM15">
        <v>46.666666666700003</v>
      </c>
      <c r="DN15">
        <v>42</v>
      </c>
      <c r="DO15">
        <v>3</v>
      </c>
      <c r="DP15">
        <v>120.7857142857</v>
      </c>
      <c r="DQ15">
        <v>38.666666666700003</v>
      </c>
    </row>
    <row r="16" spans="2:121" x14ac:dyDescent="0.2">
      <c r="B16" t="s">
        <v>157</v>
      </c>
      <c r="C16">
        <v>3798</v>
      </c>
      <c r="D16">
        <v>3600</v>
      </c>
      <c r="F16" t="s">
        <v>65</v>
      </c>
      <c r="G16">
        <v>3046</v>
      </c>
      <c r="H16">
        <v>381.73539067630003</v>
      </c>
      <c r="I16">
        <v>4810</v>
      </c>
      <c r="J16">
        <v>1508</v>
      </c>
      <c r="K16">
        <v>5647</v>
      </c>
      <c r="L16">
        <v>3066</v>
      </c>
      <c r="M16">
        <v>540</v>
      </c>
      <c r="N16">
        <v>437</v>
      </c>
      <c r="O16">
        <v>814</v>
      </c>
      <c r="P16">
        <v>588</v>
      </c>
      <c r="Q16">
        <v>0</v>
      </c>
      <c r="R16">
        <v>1</v>
      </c>
      <c r="T16" t="s">
        <v>8</v>
      </c>
      <c r="U16">
        <v>85</v>
      </c>
      <c r="V16">
        <v>377.67058823529999</v>
      </c>
      <c r="W16">
        <v>109</v>
      </c>
      <c r="X16">
        <v>93</v>
      </c>
      <c r="Y16">
        <v>240</v>
      </c>
      <c r="Z16">
        <v>98</v>
      </c>
      <c r="AA16">
        <v>93</v>
      </c>
      <c r="AB16">
        <v>46</v>
      </c>
      <c r="AC16">
        <v>65295</v>
      </c>
      <c r="AD16">
        <v>39554</v>
      </c>
      <c r="AE16">
        <v>0</v>
      </c>
      <c r="AF16">
        <v>1</v>
      </c>
      <c r="AH16" t="s">
        <v>393</v>
      </c>
      <c r="AI16">
        <v>5213</v>
      </c>
      <c r="AJ16">
        <v>448.08095146749997</v>
      </c>
      <c r="AK16">
        <v>7879</v>
      </c>
      <c r="AL16">
        <v>1852</v>
      </c>
      <c r="AM16">
        <v>9550</v>
      </c>
      <c r="AN16">
        <v>5114</v>
      </c>
      <c r="AO16">
        <v>2308</v>
      </c>
      <c r="AP16">
        <v>2034</v>
      </c>
      <c r="AQ16">
        <v>3318</v>
      </c>
      <c r="AR16">
        <v>2067</v>
      </c>
      <c r="AS16">
        <v>1010</v>
      </c>
      <c r="AT16">
        <v>220</v>
      </c>
      <c r="AV16" t="s">
        <v>419</v>
      </c>
      <c r="AW16">
        <v>49</v>
      </c>
      <c r="AX16">
        <v>65.183673469400006</v>
      </c>
      <c r="AY16">
        <v>49</v>
      </c>
      <c r="AZ16">
        <v>1</v>
      </c>
      <c r="BA16">
        <v>81</v>
      </c>
      <c r="BB16">
        <v>5</v>
      </c>
      <c r="BC16">
        <v>1</v>
      </c>
      <c r="BD16">
        <v>1</v>
      </c>
      <c r="BE16">
        <v>2</v>
      </c>
      <c r="BG16">
        <v>120</v>
      </c>
      <c r="BH16">
        <v>8</v>
      </c>
      <c r="BJ16" t="s">
        <v>558</v>
      </c>
      <c r="BK16" t="s">
        <v>389</v>
      </c>
      <c r="BL16">
        <v>7688</v>
      </c>
      <c r="BM16">
        <v>1381</v>
      </c>
      <c r="BN16">
        <v>96.123178980199995</v>
      </c>
      <c r="BO16">
        <v>23477</v>
      </c>
      <c r="BP16">
        <v>1821</v>
      </c>
      <c r="BQ16">
        <v>130.71648847809999</v>
      </c>
      <c r="BR16">
        <v>129.48434925859999</v>
      </c>
      <c r="BS16">
        <v>3476</v>
      </c>
      <c r="BT16">
        <v>803</v>
      </c>
      <c r="BU16">
        <v>102.01352128880001</v>
      </c>
      <c r="BV16">
        <v>26469</v>
      </c>
      <c r="BW16">
        <v>2408</v>
      </c>
      <c r="BX16">
        <v>135.959348672</v>
      </c>
      <c r="BY16">
        <v>123.4298172757</v>
      </c>
      <c r="CA16" t="s">
        <v>384</v>
      </c>
      <c r="CB16" t="s">
        <v>766</v>
      </c>
      <c r="CD16">
        <v>65432</v>
      </c>
      <c r="CE16">
        <v>12655</v>
      </c>
      <c r="CF16">
        <v>88.458475975100001</v>
      </c>
      <c r="CG16">
        <v>183001</v>
      </c>
      <c r="CH16">
        <v>17418</v>
      </c>
      <c r="CI16">
        <v>126.0556062535</v>
      </c>
      <c r="CJ16">
        <v>123.0175106212</v>
      </c>
      <c r="CL16" t="s">
        <v>384</v>
      </c>
      <c r="CM16" t="s">
        <v>747</v>
      </c>
      <c r="CO16">
        <v>4025</v>
      </c>
      <c r="CP16">
        <v>414</v>
      </c>
      <c r="CQ16">
        <v>65.399006211200003</v>
      </c>
      <c r="CR16">
        <v>21780</v>
      </c>
      <c r="CS16">
        <v>2101</v>
      </c>
      <c r="CT16">
        <v>68.1760330579</v>
      </c>
      <c r="CU16">
        <v>73.362684435999995</v>
      </c>
      <c r="CW16" t="s">
        <v>384</v>
      </c>
      <c r="CX16" t="s">
        <v>757</v>
      </c>
      <c r="CZ16">
        <v>1302</v>
      </c>
      <c r="DA16">
        <v>187</v>
      </c>
      <c r="DB16">
        <v>71.623655913999997</v>
      </c>
      <c r="DC16">
        <v>4349</v>
      </c>
      <c r="DD16">
        <v>490</v>
      </c>
      <c r="DE16">
        <v>130.87606346289999</v>
      </c>
      <c r="DF16">
        <v>110.9020408163</v>
      </c>
      <c r="DH16" t="s">
        <v>384</v>
      </c>
      <c r="DI16" t="s">
        <v>737</v>
      </c>
      <c r="DK16">
        <v>1478</v>
      </c>
      <c r="DL16">
        <v>159</v>
      </c>
      <c r="DM16">
        <v>68.098782138000004</v>
      </c>
      <c r="DN16">
        <v>5079</v>
      </c>
      <c r="DO16">
        <v>426</v>
      </c>
      <c r="DP16">
        <v>121.76924591460001</v>
      </c>
      <c r="DQ16">
        <v>112.8286384977</v>
      </c>
    </row>
    <row r="17" spans="2:121" x14ac:dyDescent="0.2">
      <c r="B17" t="s">
        <v>122</v>
      </c>
      <c r="C17">
        <v>509</v>
      </c>
      <c r="D17">
        <v>22</v>
      </c>
      <c r="F17" t="s">
        <v>73</v>
      </c>
      <c r="G17">
        <v>9457</v>
      </c>
      <c r="H17">
        <v>387.52046103420003</v>
      </c>
      <c r="I17">
        <v>7804</v>
      </c>
      <c r="J17">
        <v>1381</v>
      </c>
      <c r="K17">
        <v>18263</v>
      </c>
      <c r="L17">
        <v>9709</v>
      </c>
      <c r="M17">
        <v>4627</v>
      </c>
      <c r="N17">
        <v>3109</v>
      </c>
      <c r="O17">
        <v>4291</v>
      </c>
      <c r="P17">
        <v>3511</v>
      </c>
      <c r="Q17">
        <v>5</v>
      </c>
      <c r="R17">
        <v>159</v>
      </c>
      <c r="T17" t="s">
        <v>403</v>
      </c>
      <c r="U17">
        <v>42728</v>
      </c>
      <c r="V17">
        <v>391.74700430630003</v>
      </c>
      <c r="W17">
        <v>64256</v>
      </c>
      <c r="X17">
        <v>12693</v>
      </c>
      <c r="Y17">
        <v>86482</v>
      </c>
      <c r="Z17">
        <v>44130</v>
      </c>
      <c r="AA17">
        <v>24239</v>
      </c>
      <c r="AB17">
        <v>18157</v>
      </c>
      <c r="AC17">
        <v>19084</v>
      </c>
      <c r="AD17">
        <v>14679</v>
      </c>
      <c r="AE17">
        <v>479</v>
      </c>
      <c r="AF17">
        <v>792</v>
      </c>
      <c r="AH17" t="s">
        <v>391</v>
      </c>
      <c r="AI17">
        <v>4422</v>
      </c>
      <c r="AJ17">
        <v>617.23043871549999</v>
      </c>
      <c r="AK17">
        <v>5081</v>
      </c>
      <c r="AL17">
        <v>897</v>
      </c>
      <c r="AM17">
        <v>9329</v>
      </c>
      <c r="AN17">
        <v>5237</v>
      </c>
      <c r="AO17">
        <v>2730</v>
      </c>
      <c r="AP17">
        <v>2326</v>
      </c>
      <c r="AQ17">
        <v>2996</v>
      </c>
      <c r="AR17">
        <v>2263</v>
      </c>
      <c r="AS17">
        <v>745</v>
      </c>
      <c r="AT17">
        <v>233</v>
      </c>
      <c r="AV17" t="s">
        <v>399</v>
      </c>
      <c r="AW17">
        <v>77</v>
      </c>
      <c r="AX17">
        <v>52.675324675299997</v>
      </c>
      <c r="AY17">
        <v>86</v>
      </c>
      <c r="AZ17">
        <v>2</v>
      </c>
      <c r="BA17">
        <v>122</v>
      </c>
      <c r="BB17">
        <v>8</v>
      </c>
      <c r="BC17">
        <v>0</v>
      </c>
      <c r="BE17">
        <v>2</v>
      </c>
      <c r="BF17">
        <v>1</v>
      </c>
      <c r="BG17">
        <v>251</v>
      </c>
      <c r="BH17">
        <v>27</v>
      </c>
      <c r="BJ17" t="s">
        <v>575</v>
      </c>
      <c r="BK17" t="s">
        <v>389</v>
      </c>
      <c r="BL17">
        <v>2491</v>
      </c>
      <c r="BM17">
        <v>344</v>
      </c>
      <c r="BN17">
        <v>76.957848253700007</v>
      </c>
      <c r="BO17">
        <v>7256</v>
      </c>
      <c r="BP17">
        <v>643</v>
      </c>
      <c r="BQ17">
        <v>111.80154355019999</v>
      </c>
      <c r="BR17">
        <v>115.01399688959999</v>
      </c>
      <c r="BS17">
        <v>1249</v>
      </c>
      <c r="BT17">
        <v>248</v>
      </c>
      <c r="BU17">
        <v>90.088871096899993</v>
      </c>
      <c r="BV17">
        <v>9340</v>
      </c>
      <c r="BW17">
        <v>769</v>
      </c>
      <c r="BX17">
        <v>125.5198072805</v>
      </c>
      <c r="BY17">
        <v>124.78673602080001</v>
      </c>
      <c r="CA17" t="s">
        <v>393</v>
      </c>
      <c r="CB17" t="s">
        <v>806</v>
      </c>
      <c r="CC17" t="s">
        <v>1001</v>
      </c>
      <c r="CD17">
        <v>7610</v>
      </c>
      <c r="CE17">
        <v>1769</v>
      </c>
      <c r="CF17">
        <v>95.639290407399997</v>
      </c>
      <c r="CG17">
        <v>18359</v>
      </c>
      <c r="CH17">
        <v>1751</v>
      </c>
      <c r="CI17">
        <v>137.94819979299999</v>
      </c>
      <c r="CJ17">
        <v>122.45745288409999</v>
      </c>
      <c r="CL17" t="s">
        <v>393</v>
      </c>
      <c r="CM17" t="s">
        <v>781</v>
      </c>
      <c r="CN17" t="s">
        <v>780</v>
      </c>
      <c r="CO17">
        <v>630</v>
      </c>
      <c r="CP17">
        <v>75</v>
      </c>
      <c r="CQ17">
        <v>69.712698412699993</v>
      </c>
      <c r="CR17">
        <v>3772</v>
      </c>
      <c r="CS17">
        <v>314</v>
      </c>
      <c r="CT17">
        <v>72.9925768823</v>
      </c>
      <c r="CU17">
        <v>72.573248407600005</v>
      </c>
      <c r="CW17" t="s">
        <v>393</v>
      </c>
      <c r="CX17" t="s">
        <v>794</v>
      </c>
      <c r="CY17" t="s">
        <v>793</v>
      </c>
      <c r="CZ17">
        <v>167</v>
      </c>
      <c r="DA17">
        <v>27</v>
      </c>
      <c r="DB17">
        <v>75.718562874300005</v>
      </c>
      <c r="DC17">
        <v>497</v>
      </c>
      <c r="DD17">
        <v>56</v>
      </c>
      <c r="DE17">
        <v>137.02615694159999</v>
      </c>
      <c r="DF17">
        <v>108.3928571429</v>
      </c>
      <c r="DH17" t="s">
        <v>393</v>
      </c>
      <c r="DI17" t="s">
        <v>768</v>
      </c>
      <c r="DJ17" t="s">
        <v>767</v>
      </c>
      <c r="DK17">
        <v>153</v>
      </c>
      <c r="DL17">
        <v>20</v>
      </c>
      <c r="DM17">
        <v>73.411764705899998</v>
      </c>
      <c r="DN17">
        <v>447</v>
      </c>
      <c r="DO17">
        <v>40</v>
      </c>
      <c r="DP17">
        <v>124.47874720359999</v>
      </c>
      <c r="DQ17">
        <v>113.45</v>
      </c>
    </row>
    <row r="18" spans="2:121" x14ac:dyDescent="0.2">
      <c r="B18" t="s">
        <v>93</v>
      </c>
      <c r="C18">
        <v>218</v>
      </c>
      <c r="D18">
        <v>144</v>
      </c>
      <c r="F18" t="s">
        <v>81</v>
      </c>
      <c r="G18">
        <v>1587</v>
      </c>
      <c r="H18">
        <v>208.3850031506</v>
      </c>
      <c r="I18">
        <v>2548</v>
      </c>
      <c r="J18">
        <v>407</v>
      </c>
      <c r="K18">
        <v>3143</v>
      </c>
      <c r="L18">
        <v>1104</v>
      </c>
      <c r="M18">
        <v>1012</v>
      </c>
      <c r="N18">
        <v>490</v>
      </c>
      <c r="O18">
        <v>231</v>
      </c>
      <c r="P18">
        <v>127</v>
      </c>
      <c r="Q18">
        <v>0</v>
      </c>
      <c r="R18">
        <v>8</v>
      </c>
      <c r="T18" t="s">
        <v>379</v>
      </c>
      <c r="U18">
        <v>55529</v>
      </c>
      <c r="V18">
        <v>352.99866736299998</v>
      </c>
      <c r="W18">
        <v>73694</v>
      </c>
      <c r="X18">
        <v>17572</v>
      </c>
      <c r="Y18">
        <v>96306</v>
      </c>
      <c r="Z18">
        <v>52163</v>
      </c>
      <c r="AA18">
        <v>27646</v>
      </c>
      <c r="AB18">
        <v>23100</v>
      </c>
      <c r="AC18">
        <v>26661</v>
      </c>
      <c r="AD18">
        <v>19921</v>
      </c>
      <c r="AE18">
        <v>178</v>
      </c>
      <c r="AF18">
        <v>1388</v>
      </c>
      <c r="AH18" t="s">
        <v>398</v>
      </c>
      <c r="AI18">
        <v>819</v>
      </c>
      <c r="AJ18">
        <v>186.49572649570001</v>
      </c>
      <c r="AK18">
        <v>2677</v>
      </c>
      <c r="AL18">
        <v>377</v>
      </c>
      <c r="AM18">
        <v>2420</v>
      </c>
      <c r="AN18">
        <v>437</v>
      </c>
      <c r="AO18">
        <v>329</v>
      </c>
      <c r="AP18">
        <v>212</v>
      </c>
      <c r="AQ18">
        <v>565</v>
      </c>
      <c r="AR18">
        <v>329</v>
      </c>
      <c r="AS18">
        <v>3</v>
      </c>
      <c r="AT18">
        <v>10</v>
      </c>
      <c r="AV18" t="s">
        <v>387</v>
      </c>
      <c r="AW18">
        <v>571</v>
      </c>
      <c r="AX18">
        <v>59.436077057799999</v>
      </c>
      <c r="AY18">
        <v>791</v>
      </c>
      <c r="AZ18">
        <v>81</v>
      </c>
      <c r="BA18">
        <v>843</v>
      </c>
      <c r="BB18">
        <v>74</v>
      </c>
      <c r="BC18">
        <v>3</v>
      </c>
      <c r="BD18">
        <v>3</v>
      </c>
      <c r="BE18">
        <v>52</v>
      </c>
      <c r="BF18">
        <v>13</v>
      </c>
      <c r="BG18">
        <v>141</v>
      </c>
      <c r="BH18">
        <v>110</v>
      </c>
      <c r="BJ18" t="s">
        <v>568</v>
      </c>
      <c r="BK18" t="s">
        <v>389</v>
      </c>
      <c r="BL18">
        <v>8015</v>
      </c>
      <c r="BM18">
        <v>1766</v>
      </c>
      <c r="BN18">
        <v>96.353961322499998</v>
      </c>
      <c r="BO18">
        <v>18882</v>
      </c>
      <c r="BP18">
        <v>1903</v>
      </c>
      <c r="BQ18">
        <v>136.6998199343</v>
      </c>
      <c r="BR18">
        <v>138.60063058329999</v>
      </c>
      <c r="BS18">
        <v>2457</v>
      </c>
      <c r="BT18">
        <v>804</v>
      </c>
      <c r="BU18">
        <v>112.78754578749999</v>
      </c>
      <c r="BV18">
        <v>19415</v>
      </c>
      <c r="BW18">
        <v>2161</v>
      </c>
      <c r="BX18">
        <v>134.98382693790001</v>
      </c>
      <c r="BY18">
        <v>138.22443313279999</v>
      </c>
      <c r="CA18" t="s">
        <v>391</v>
      </c>
      <c r="CB18" t="s">
        <v>806</v>
      </c>
      <c r="CC18" t="s">
        <v>1002</v>
      </c>
      <c r="CD18">
        <v>5214</v>
      </c>
      <c r="CE18">
        <v>925</v>
      </c>
      <c r="CF18">
        <v>87.1085538934</v>
      </c>
      <c r="CG18">
        <v>14862</v>
      </c>
      <c r="CH18">
        <v>1464</v>
      </c>
      <c r="CI18">
        <v>123.9816310052</v>
      </c>
      <c r="CJ18">
        <v>124.8510928962</v>
      </c>
      <c r="CL18" t="s">
        <v>391</v>
      </c>
      <c r="CM18" t="s">
        <v>781</v>
      </c>
      <c r="CN18" t="s">
        <v>782</v>
      </c>
      <c r="CO18">
        <v>411</v>
      </c>
      <c r="CP18">
        <v>43</v>
      </c>
      <c r="CQ18">
        <v>66.574209245700004</v>
      </c>
      <c r="CR18">
        <v>2225</v>
      </c>
      <c r="CS18">
        <v>172</v>
      </c>
      <c r="CT18">
        <v>73.1838202247</v>
      </c>
      <c r="CU18">
        <v>69.313953488400003</v>
      </c>
      <c r="CW18" t="s">
        <v>391</v>
      </c>
      <c r="CX18" t="s">
        <v>794</v>
      </c>
      <c r="CY18" t="s">
        <v>795</v>
      </c>
      <c r="CZ18">
        <v>76</v>
      </c>
      <c r="DA18">
        <v>7</v>
      </c>
      <c r="DB18">
        <v>61.381578947400001</v>
      </c>
      <c r="DC18">
        <v>248</v>
      </c>
      <c r="DD18">
        <v>29</v>
      </c>
      <c r="DE18">
        <v>134.9637096774</v>
      </c>
      <c r="DF18">
        <v>118.10344827590001</v>
      </c>
      <c r="DH18" t="s">
        <v>391</v>
      </c>
      <c r="DI18" t="s">
        <v>768</v>
      </c>
      <c r="DJ18" t="s">
        <v>769</v>
      </c>
      <c r="DK18">
        <v>44</v>
      </c>
      <c r="DL18">
        <v>8</v>
      </c>
      <c r="DM18">
        <v>72.5</v>
      </c>
      <c r="DN18">
        <v>213</v>
      </c>
      <c r="DO18">
        <v>14</v>
      </c>
      <c r="DP18">
        <v>135.44600938970001</v>
      </c>
      <c r="DQ18">
        <v>131.5</v>
      </c>
    </row>
    <row r="19" spans="2:121" x14ac:dyDescent="0.2">
      <c r="B19" t="s">
        <v>89</v>
      </c>
      <c r="C19">
        <v>5</v>
      </c>
      <c r="D19">
        <v>5</v>
      </c>
      <c r="F19" t="s">
        <v>51</v>
      </c>
      <c r="G19">
        <v>3327</v>
      </c>
      <c r="H19">
        <v>260.44995491430001</v>
      </c>
      <c r="I19">
        <v>3349</v>
      </c>
      <c r="J19">
        <v>426</v>
      </c>
      <c r="K19">
        <v>7680</v>
      </c>
      <c r="L19">
        <v>2982</v>
      </c>
      <c r="M19">
        <v>3665</v>
      </c>
      <c r="N19">
        <v>2591</v>
      </c>
      <c r="O19">
        <v>1654</v>
      </c>
      <c r="P19">
        <v>1110</v>
      </c>
      <c r="Q19">
        <v>0</v>
      </c>
      <c r="R19">
        <v>99</v>
      </c>
      <c r="T19" t="s">
        <v>460</v>
      </c>
      <c r="U19">
        <v>233044</v>
      </c>
      <c r="V19">
        <v>369.93664715680001</v>
      </c>
      <c r="W19">
        <v>341960</v>
      </c>
      <c r="X19">
        <v>72424</v>
      </c>
      <c r="Y19">
        <v>445856</v>
      </c>
      <c r="Z19">
        <v>219512</v>
      </c>
      <c r="AA19">
        <v>129438</v>
      </c>
      <c r="AB19">
        <v>100612</v>
      </c>
      <c r="AC19">
        <v>171360</v>
      </c>
      <c r="AD19">
        <v>117737</v>
      </c>
      <c r="AE19">
        <v>23671</v>
      </c>
      <c r="AF19">
        <v>4512</v>
      </c>
      <c r="AH19" t="s">
        <v>421</v>
      </c>
      <c r="AI19">
        <v>1659</v>
      </c>
      <c r="AJ19">
        <v>228.6214587101</v>
      </c>
      <c r="AK19">
        <v>2382</v>
      </c>
      <c r="AL19">
        <v>400</v>
      </c>
      <c r="AM19">
        <v>3360</v>
      </c>
      <c r="AN19">
        <v>1248</v>
      </c>
      <c r="AO19">
        <v>1074</v>
      </c>
      <c r="AP19">
        <v>566</v>
      </c>
      <c r="AQ19">
        <v>860</v>
      </c>
      <c r="AR19">
        <v>517</v>
      </c>
      <c r="AS19">
        <v>5</v>
      </c>
      <c r="AT19">
        <v>14</v>
      </c>
      <c r="AV19" t="s">
        <v>398</v>
      </c>
      <c r="AW19">
        <v>191</v>
      </c>
      <c r="AX19">
        <v>59.670157068100004</v>
      </c>
      <c r="AY19">
        <v>269</v>
      </c>
      <c r="AZ19">
        <v>9</v>
      </c>
      <c r="BA19">
        <v>300</v>
      </c>
      <c r="BB19">
        <v>22</v>
      </c>
      <c r="BC19">
        <v>0</v>
      </c>
      <c r="BE19">
        <v>11</v>
      </c>
      <c r="BF19">
        <v>5</v>
      </c>
      <c r="BG19">
        <v>356</v>
      </c>
      <c r="BH19">
        <v>46</v>
      </c>
      <c r="BJ19" t="s">
        <v>632</v>
      </c>
      <c r="BK19" t="s">
        <v>389</v>
      </c>
      <c r="BL19">
        <v>1119</v>
      </c>
      <c r="BM19">
        <v>134</v>
      </c>
      <c r="BN19">
        <v>67.649687220700002</v>
      </c>
      <c r="BO19">
        <v>2890</v>
      </c>
      <c r="BP19">
        <v>267</v>
      </c>
      <c r="BQ19">
        <v>99.743252595200005</v>
      </c>
      <c r="BR19">
        <v>92.689138576800005</v>
      </c>
      <c r="BS19">
        <v>526</v>
      </c>
      <c r="BT19">
        <v>133</v>
      </c>
      <c r="BU19">
        <v>95.068441064599995</v>
      </c>
      <c r="BV19">
        <v>4082</v>
      </c>
      <c r="BW19">
        <v>357</v>
      </c>
      <c r="BX19">
        <v>122.8005879471</v>
      </c>
      <c r="BY19">
        <v>126.5742296919</v>
      </c>
      <c r="CA19" t="s">
        <v>398</v>
      </c>
      <c r="CB19" t="s">
        <v>806</v>
      </c>
      <c r="CC19" t="s">
        <v>1003</v>
      </c>
      <c r="CD19">
        <v>2586</v>
      </c>
      <c r="CE19">
        <v>360</v>
      </c>
      <c r="CF19">
        <v>77.134957463299997</v>
      </c>
      <c r="CG19">
        <v>7558</v>
      </c>
      <c r="CH19">
        <v>673</v>
      </c>
      <c r="CI19">
        <v>110.4580576872</v>
      </c>
      <c r="CJ19">
        <v>110.12927191679999</v>
      </c>
      <c r="CL19" t="s">
        <v>398</v>
      </c>
      <c r="CM19" t="s">
        <v>781</v>
      </c>
      <c r="CN19" t="s">
        <v>783</v>
      </c>
      <c r="CO19">
        <v>272</v>
      </c>
      <c r="CP19">
        <v>17</v>
      </c>
      <c r="CQ19">
        <v>61.485294117599999</v>
      </c>
      <c r="CR19">
        <v>1401</v>
      </c>
      <c r="CS19">
        <v>129</v>
      </c>
      <c r="CT19">
        <v>66.200571020699996</v>
      </c>
      <c r="CU19">
        <v>70.348837209300001</v>
      </c>
      <c r="CW19" t="s">
        <v>398</v>
      </c>
      <c r="CX19" t="s">
        <v>794</v>
      </c>
      <c r="CY19" t="s">
        <v>796</v>
      </c>
      <c r="CZ19">
        <v>39</v>
      </c>
      <c r="DA19">
        <v>3</v>
      </c>
      <c r="DB19">
        <v>50.820512820499999</v>
      </c>
      <c r="DC19">
        <v>120</v>
      </c>
      <c r="DD19">
        <v>11</v>
      </c>
      <c r="DE19">
        <v>136.07499999999999</v>
      </c>
      <c r="DF19">
        <v>98.818181818200003</v>
      </c>
      <c r="DH19" t="s">
        <v>398</v>
      </c>
      <c r="DI19" t="s">
        <v>768</v>
      </c>
      <c r="DJ19" t="s">
        <v>770</v>
      </c>
      <c r="DK19">
        <v>32</v>
      </c>
      <c r="DL19">
        <v>3</v>
      </c>
      <c r="DM19">
        <v>68.59375</v>
      </c>
      <c r="DN19">
        <v>81</v>
      </c>
      <c r="DO19">
        <v>3</v>
      </c>
      <c r="DP19">
        <v>130.76543209880001</v>
      </c>
      <c r="DQ19">
        <v>103</v>
      </c>
    </row>
    <row r="20" spans="2:121" x14ac:dyDescent="0.2">
      <c r="B20" t="s">
        <v>98</v>
      </c>
      <c r="C20">
        <v>96139</v>
      </c>
      <c r="D20">
        <v>72427</v>
      </c>
      <c r="F20" t="s">
        <v>78</v>
      </c>
      <c r="G20">
        <v>1273</v>
      </c>
      <c r="H20">
        <v>279.26315789469999</v>
      </c>
      <c r="I20">
        <v>1478</v>
      </c>
      <c r="J20">
        <v>163</v>
      </c>
      <c r="K20">
        <v>2435</v>
      </c>
      <c r="L20">
        <v>1004</v>
      </c>
      <c r="M20">
        <v>863</v>
      </c>
      <c r="N20">
        <v>644</v>
      </c>
      <c r="O20">
        <v>225</v>
      </c>
      <c r="P20">
        <v>149</v>
      </c>
      <c r="Q20">
        <v>1</v>
      </c>
      <c r="R20">
        <v>0</v>
      </c>
      <c r="AH20" t="s">
        <v>392</v>
      </c>
      <c r="AI20">
        <v>5084</v>
      </c>
      <c r="AJ20">
        <v>522.08752950430005</v>
      </c>
      <c r="AK20">
        <v>3807</v>
      </c>
      <c r="AL20">
        <v>578</v>
      </c>
      <c r="AM20">
        <v>8406</v>
      </c>
      <c r="AN20">
        <v>5453</v>
      </c>
      <c r="AO20">
        <v>2272</v>
      </c>
      <c r="AP20">
        <v>1954</v>
      </c>
      <c r="AQ20">
        <v>2156</v>
      </c>
      <c r="AR20">
        <v>1549</v>
      </c>
      <c r="AS20">
        <v>675</v>
      </c>
      <c r="AT20">
        <v>159</v>
      </c>
      <c r="AV20" t="s">
        <v>422</v>
      </c>
      <c r="AW20">
        <v>58</v>
      </c>
      <c r="AX20">
        <v>110.82758620689999</v>
      </c>
      <c r="AY20">
        <v>79</v>
      </c>
      <c r="AZ20">
        <v>10</v>
      </c>
      <c r="BA20">
        <v>89</v>
      </c>
      <c r="BB20">
        <v>23</v>
      </c>
      <c r="BC20">
        <v>2</v>
      </c>
      <c r="BD20">
        <v>2</v>
      </c>
      <c r="BE20">
        <v>9</v>
      </c>
      <c r="BF20">
        <v>1</v>
      </c>
      <c r="BG20">
        <v>13</v>
      </c>
      <c r="BH20">
        <v>11</v>
      </c>
      <c r="BJ20" t="s">
        <v>560</v>
      </c>
      <c r="BK20" t="s">
        <v>389</v>
      </c>
      <c r="BL20">
        <v>5069</v>
      </c>
      <c r="BM20">
        <v>925</v>
      </c>
      <c r="BN20">
        <v>88.313276780400003</v>
      </c>
      <c r="BO20">
        <v>14204</v>
      </c>
      <c r="BP20">
        <v>1433</v>
      </c>
      <c r="BQ20">
        <v>127.3215291467</v>
      </c>
      <c r="BR20">
        <v>129.341939986</v>
      </c>
      <c r="BS20">
        <v>1665</v>
      </c>
      <c r="BT20">
        <v>391</v>
      </c>
      <c r="BU20">
        <v>95.019819819800006</v>
      </c>
      <c r="BV20">
        <v>15664</v>
      </c>
      <c r="BW20">
        <v>1527</v>
      </c>
      <c r="BX20">
        <v>128.30075331969999</v>
      </c>
      <c r="BY20">
        <v>132.38310412569999</v>
      </c>
      <c r="CA20" t="s">
        <v>421</v>
      </c>
      <c r="CB20" t="s">
        <v>806</v>
      </c>
      <c r="CC20" t="s">
        <v>1004</v>
      </c>
      <c r="CD20">
        <v>2364</v>
      </c>
      <c r="CE20">
        <v>378</v>
      </c>
      <c r="CF20">
        <v>78.209813874800005</v>
      </c>
      <c r="CG20">
        <v>7810</v>
      </c>
      <c r="CH20">
        <v>576</v>
      </c>
      <c r="CI20">
        <v>112.03201024329999</v>
      </c>
      <c r="CJ20">
        <v>105.38194444440001</v>
      </c>
      <c r="CL20" t="s">
        <v>421</v>
      </c>
      <c r="CM20" t="s">
        <v>781</v>
      </c>
      <c r="CN20" t="s">
        <v>784</v>
      </c>
      <c r="CO20">
        <v>208</v>
      </c>
      <c r="CP20">
        <v>20</v>
      </c>
      <c r="CQ20">
        <v>62.538461538500002</v>
      </c>
      <c r="CR20">
        <v>1256</v>
      </c>
      <c r="CS20">
        <v>123</v>
      </c>
      <c r="CT20">
        <v>68.556528662399998</v>
      </c>
      <c r="CU20">
        <v>72.186991869899998</v>
      </c>
      <c r="CW20" t="s">
        <v>421</v>
      </c>
      <c r="CX20" t="s">
        <v>794</v>
      </c>
      <c r="CY20" t="s">
        <v>797</v>
      </c>
      <c r="CZ20">
        <v>44</v>
      </c>
      <c r="DA20">
        <v>3</v>
      </c>
      <c r="DB20">
        <v>52.4545454545</v>
      </c>
      <c r="DC20">
        <v>217</v>
      </c>
      <c r="DD20">
        <v>27</v>
      </c>
      <c r="DE20">
        <v>117.198156682</v>
      </c>
      <c r="DF20">
        <v>112.7037037037</v>
      </c>
      <c r="DH20" t="s">
        <v>421</v>
      </c>
      <c r="DI20" t="s">
        <v>768</v>
      </c>
      <c r="DJ20" t="s">
        <v>771</v>
      </c>
      <c r="DK20">
        <v>86</v>
      </c>
      <c r="DL20">
        <v>4</v>
      </c>
      <c r="DM20">
        <v>56.430232558100002</v>
      </c>
      <c r="DN20">
        <v>344</v>
      </c>
      <c r="DO20">
        <v>21</v>
      </c>
      <c r="DP20">
        <v>119.1947674419</v>
      </c>
      <c r="DQ20">
        <v>108.9047619048</v>
      </c>
    </row>
    <row r="21" spans="2:121" x14ac:dyDescent="0.2">
      <c r="B21" t="s">
        <v>127</v>
      </c>
      <c r="C21">
        <v>66438</v>
      </c>
      <c r="D21">
        <v>55869</v>
      </c>
      <c r="F21" t="s">
        <v>181</v>
      </c>
      <c r="G21">
        <v>300</v>
      </c>
      <c r="H21">
        <v>178.25</v>
      </c>
      <c r="I21">
        <v>665</v>
      </c>
      <c r="J21">
        <v>48</v>
      </c>
      <c r="K21">
        <v>1128</v>
      </c>
      <c r="L21">
        <v>98</v>
      </c>
      <c r="M21">
        <v>389</v>
      </c>
      <c r="N21">
        <v>211</v>
      </c>
      <c r="O21">
        <v>219</v>
      </c>
      <c r="P21">
        <v>118</v>
      </c>
      <c r="Q21">
        <v>0</v>
      </c>
      <c r="R21">
        <v>3</v>
      </c>
      <c r="AH21" t="s">
        <v>386</v>
      </c>
      <c r="AI21">
        <v>3896</v>
      </c>
      <c r="AJ21">
        <v>412.55518480490002</v>
      </c>
      <c r="AK21">
        <v>5505</v>
      </c>
      <c r="AL21">
        <v>1079</v>
      </c>
      <c r="AM21">
        <v>7443</v>
      </c>
      <c r="AN21">
        <v>3628</v>
      </c>
      <c r="AO21">
        <v>1656</v>
      </c>
      <c r="AP21">
        <v>1155</v>
      </c>
      <c r="AQ21">
        <v>3097</v>
      </c>
      <c r="AR21">
        <v>2067</v>
      </c>
      <c r="AS21">
        <v>356</v>
      </c>
      <c r="AT21">
        <v>271</v>
      </c>
      <c r="AV21" t="s">
        <v>427</v>
      </c>
      <c r="AW21">
        <v>23</v>
      </c>
      <c r="AX21">
        <v>74.695652173900001</v>
      </c>
      <c r="AY21">
        <v>21</v>
      </c>
      <c r="AZ21">
        <v>2</v>
      </c>
      <c r="BA21">
        <v>47</v>
      </c>
      <c r="BB21">
        <v>6</v>
      </c>
      <c r="BC21">
        <v>1</v>
      </c>
      <c r="BD21">
        <v>1</v>
      </c>
      <c r="BE21">
        <v>3</v>
      </c>
      <c r="BG21">
        <v>98</v>
      </c>
      <c r="BH21">
        <v>14</v>
      </c>
      <c r="BJ21" t="s">
        <v>577</v>
      </c>
      <c r="BK21" t="s">
        <v>389</v>
      </c>
      <c r="BL21">
        <v>1806</v>
      </c>
      <c r="BM21">
        <v>215</v>
      </c>
      <c r="BN21">
        <v>71.750276854899994</v>
      </c>
      <c r="BO21">
        <v>6059</v>
      </c>
      <c r="BP21">
        <v>549</v>
      </c>
      <c r="BQ21">
        <v>115.58375969630001</v>
      </c>
      <c r="BR21">
        <v>102.4316939891</v>
      </c>
      <c r="BS21">
        <v>1879</v>
      </c>
      <c r="BT21">
        <v>236</v>
      </c>
      <c r="BU21">
        <v>78.003193187899996</v>
      </c>
      <c r="BV21">
        <v>14757</v>
      </c>
      <c r="BW21">
        <v>1176</v>
      </c>
      <c r="BX21">
        <v>137.87809175309999</v>
      </c>
      <c r="BY21">
        <v>100.40391156459999</v>
      </c>
      <c r="CA21" t="s">
        <v>394</v>
      </c>
      <c r="CB21" t="s">
        <v>806</v>
      </c>
      <c r="CC21" t="s">
        <v>1005</v>
      </c>
      <c r="CD21">
        <v>8131</v>
      </c>
      <c r="CE21">
        <v>1787</v>
      </c>
      <c r="CF21">
        <v>96.4458246218</v>
      </c>
      <c r="CG21">
        <v>19542</v>
      </c>
      <c r="CH21">
        <v>1956</v>
      </c>
      <c r="CI21">
        <v>134.61339678639999</v>
      </c>
      <c r="CJ21">
        <v>136.3711656442</v>
      </c>
      <c r="CL21" t="s">
        <v>394</v>
      </c>
      <c r="CM21" t="s">
        <v>781</v>
      </c>
      <c r="CN21" t="s">
        <v>785</v>
      </c>
      <c r="CO21">
        <v>746</v>
      </c>
      <c r="CP21">
        <v>107</v>
      </c>
      <c r="CQ21">
        <v>72.536193029499998</v>
      </c>
      <c r="CR21">
        <v>4246</v>
      </c>
      <c r="CS21">
        <v>382</v>
      </c>
      <c r="CT21">
        <v>72.112812058399996</v>
      </c>
      <c r="CU21">
        <v>74.793193717299999</v>
      </c>
      <c r="CW21" t="s">
        <v>394</v>
      </c>
      <c r="CX21" t="s">
        <v>794</v>
      </c>
      <c r="CY21" t="s">
        <v>798</v>
      </c>
      <c r="CZ21">
        <v>105</v>
      </c>
      <c r="DA21">
        <v>11</v>
      </c>
      <c r="DB21">
        <v>61.885714285699997</v>
      </c>
      <c r="DC21">
        <v>375</v>
      </c>
      <c r="DD21">
        <v>35</v>
      </c>
      <c r="DE21">
        <v>140.512</v>
      </c>
      <c r="DF21">
        <v>127.6285714286</v>
      </c>
      <c r="DH21" t="s">
        <v>394</v>
      </c>
      <c r="DI21" t="s">
        <v>768</v>
      </c>
      <c r="DJ21" t="s">
        <v>772</v>
      </c>
      <c r="DK21">
        <v>100</v>
      </c>
      <c r="DL21">
        <v>18</v>
      </c>
      <c r="DM21">
        <v>80.010000000000005</v>
      </c>
      <c r="DN21">
        <v>305</v>
      </c>
      <c r="DO21">
        <v>33</v>
      </c>
      <c r="DP21">
        <v>122.7803278689</v>
      </c>
      <c r="DQ21">
        <v>114.696969697</v>
      </c>
    </row>
    <row r="22" spans="2:121" x14ac:dyDescent="0.2">
      <c r="B22" t="s">
        <v>107</v>
      </c>
      <c r="C22">
        <v>63720</v>
      </c>
      <c r="D22">
        <v>48646</v>
      </c>
      <c r="F22" t="s">
        <v>429</v>
      </c>
      <c r="G22">
        <v>5138</v>
      </c>
      <c r="H22">
        <v>641.08875048660002</v>
      </c>
      <c r="I22">
        <v>705</v>
      </c>
      <c r="J22">
        <v>113</v>
      </c>
      <c r="K22">
        <v>5543</v>
      </c>
      <c r="L22">
        <v>4214</v>
      </c>
      <c r="M22">
        <v>1061</v>
      </c>
      <c r="N22">
        <v>728</v>
      </c>
      <c r="O22">
        <v>1156</v>
      </c>
      <c r="P22">
        <v>1136</v>
      </c>
      <c r="Q22">
        <v>0</v>
      </c>
      <c r="R22">
        <v>0</v>
      </c>
      <c r="AH22" t="s">
        <v>415</v>
      </c>
      <c r="AI22">
        <v>1075</v>
      </c>
      <c r="AJ22">
        <v>308.32</v>
      </c>
      <c r="AK22">
        <v>1284</v>
      </c>
      <c r="AL22">
        <v>174</v>
      </c>
      <c r="AM22">
        <v>2068</v>
      </c>
      <c r="AN22">
        <v>856</v>
      </c>
      <c r="AO22">
        <v>858</v>
      </c>
      <c r="AP22">
        <v>646</v>
      </c>
      <c r="AQ22">
        <v>463</v>
      </c>
      <c r="AR22">
        <v>284</v>
      </c>
      <c r="AS22">
        <v>404</v>
      </c>
      <c r="AT22">
        <v>2</v>
      </c>
      <c r="AV22" t="s">
        <v>8</v>
      </c>
      <c r="AW22">
        <v>177</v>
      </c>
      <c r="AX22">
        <v>104.5310734463</v>
      </c>
      <c r="AY22">
        <v>218</v>
      </c>
      <c r="AZ22">
        <v>112</v>
      </c>
      <c r="BA22">
        <v>364</v>
      </c>
      <c r="BB22">
        <v>213</v>
      </c>
      <c r="BC22">
        <v>6</v>
      </c>
      <c r="BD22">
        <v>6</v>
      </c>
      <c r="BE22">
        <v>8</v>
      </c>
      <c r="BF22">
        <v>4</v>
      </c>
      <c r="BG22">
        <v>58</v>
      </c>
      <c r="BH22">
        <v>24</v>
      </c>
      <c r="BJ22" t="s">
        <v>389</v>
      </c>
      <c r="BK22" t="s">
        <v>389</v>
      </c>
      <c r="BL22">
        <v>56162</v>
      </c>
      <c r="BM22">
        <v>10520</v>
      </c>
      <c r="BN22">
        <v>88.417168192000005</v>
      </c>
      <c r="BO22">
        <v>148969</v>
      </c>
      <c r="BP22">
        <v>13287</v>
      </c>
      <c r="BQ22">
        <v>124.93242218180001</v>
      </c>
      <c r="BR22">
        <v>124.83111311810001</v>
      </c>
      <c r="BS22">
        <v>21640</v>
      </c>
      <c r="BT22">
        <v>5241</v>
      </c>
      <c r="BU22">
        <v>97.477125693199994</v>
      </c>
      <c r="BV22">
        <v>169476</v>
      </c>
      <c r="BW22">
        <v>15772</v>
      </c>
      <c r="BX22">
        <v>129.65466496729999</v>
      </c>
      <c r="BY22">
        <v>127.1470327162</v>
      </c>
      <c r="CA22" t="s">
        <v>400</v>
      </c>
      <c r="CB22" t="s">
        <v>806</v>
      </c>
      <c r="CC22" t="s">
        <v>1006</v>
      </c>
      <c r="CD22">
        <v>5307</v>
      </c>
      <c r="CE22">
        <v>691</v>
      </c>
      <c r="CF22">
        <v>76.301677030299999</v>
      </c>
      <c r="CG22">
        <v>15937</v>
      </c>
      <c r="CH22">
        <v>1309</v>
      </c>
      <c r="CI22">
        <v>107.4935056786</v>
      </c>
      <c r="CJ22">
        <v>113.1772345302</v>
      </c>
      <c r="CL22" t="s">
        <v>400</v>
      </c>
      <c r="CM22" t="s">
        <v>781</v>
      </c>
      <c r="CN22" t="s">
        <v>786</v>
      </c>
      <c r="CO22">
        <v>278</v>
      </c>
      <c r="CP22">
        <v>13</v>
      </c>
      <c r="CQ22">
        <v>60.510791366900001</v>
      </c>
      <c r="CR22">
        <v>1762</v>
      </c>
      <c r="CS22">
        <v>162</v>
      </c>
      <c r="CT22">
        <v>62.946651532300002</v>
      </c>
      <c r="CU22">
        <v>62.685185185199998</v>
      </c>
      <c r="CW22" t="s">
        <v>400</v>
      </c>
      <c r="CX22" t="s">
        <v>794</v>
      </c>
      <c r="CY22" t="s">
        <v>799</v>
      </c>
      <c r="CZ22">
        <v>50</v>
      </c>
      <c r="DA22">
        <v>5</v>
      </c>
      <c r="DB22">
        <v>58.58</v>
      </c>
      <c r="DC22">
        <v>178</v>
      </c>
      <c r="DD22">
        <v>21</v>
      </c>
      <c r="DE22">
        <v>122.7865168539</v>
      </c>
      <c r="DF22">
        <v>85.666666666699996</v>
      </c>
      <c r="DH22" t="s">
        <v>400</v>
      </c>
      <c r="DI22" t="s">
        <v>768</v>
      </c>
      <c r="DJ22" t="s">
        <v>773</v>
      </c>
      <c r="DK22">
        <v>24</v>
      </c>
      <c r="DL22">
        <v>2</v>
      </c>
      <c r="DM22">
        <v>62.791666666700003</v>
      </c>
      <c r="DN22">
        <v>101</v>
      </c>
      <c r="DO22">
        <v>9</v>
      </c>
      <c r="DP22">
        <v>128.94059405940001</v>
      </c>
      <c r="DQ22">
        <v>165.8888888889</v>
      </c>
    </row>
    <row r="23" spans="2:121" x14ac:dyDescent="0.2">
      <c r="B23" t="s">
        <v>126</v>
      </c>
      <c r="C23">
        <v>10477</v>
      </c>
      <c r="D23">
        <v>6932</v>
      </c>
      <c r="F23" t="s">
        <v>76</v>
      </c>
      <c r="G23">
        <v>3504</v>
      </c>
      <c r="H23">
        <v>163.6792237443</v>
      </c>
      <c r="I23">
        <v>11326</v>
      </c>
      <c r="J23">
        <v>1857</v>
      </c>
      <c r="K23">
        <v>13277</v>
      </c>
      <c r="L23">
        <v>3314</v>
      </c>
      <c r="M23">
        <v>5296</v>
      </c>
      <c r="N23">
        <v>3892</v>
      </c>
      <c r="O23">
        <v>1147</v>
      </c>
      <c r="P23">
        <v>672</v>
      </c>
      <c r="Q23">
        <v>34</v>
      </c>
      <c r="R23">
        <v>0</v>
      </c>
      <c r="AH23" t="s">
        <v>375</v>
      </c>
      <c r="AI23">
        <v>8077</v>
      </c>
      <c r="AJ23">
        <v>632.05472328830001</v>
      </c>
      <c r="AK23">
        <v>6414</v>
      </c>
      <c r="AL23">
        <v>1420</v>
      </c>
      <c r="AM23">
        <v>12433</v>
      </c>
      <c r="AN23">
        <v>7718</v>
      </c>
      <c r="AO23">
        <v>4297</v>
      </c>
      <c r="AP23">
        <v>3693</v>
      </c>
      <c r="AQ23">
        <v>3275</v>
      </c>
      <c r="AR23">
        <v>2314</v>
      </c>
      <c r="AS23">
        <v>507</v>
      </c>
      <c r="AT23">
        <v>6</v>
      </c>
      <c r="AV23" t="s">
        <v>408</v>
      </c>
      <c r="AW23">
        <v>168</v>
      </c>
      <c r="AX23">
        <v>64.369047619</v>
      </c>
      <c r="AY23">
        <v>226</v>
      </c>
      <c r="AZ23">
        <v>6</v>
      </c>
      <c r="BA23">
        <v>302</v>
      </c>
      <c r="BB23">
        <v>40</v>
      </c>
      <c r="BC23">
        <v>1</v>
      </c>
      <c r="BD23">
        <v>1</v>
      </c>
      <c r="BE23">
        <v>15</v>
      </c>
      <c r="BF23">
        <v>6</v>
      </c>
      <c r="BG23">
        <v>387</v>
      </c>
      <c r="BH23">
        <v>79</v>
      </c>
      <c r="BJ23" t="s">
        <v>570</v>
      </c>
      <c r="BK23" t="s">
        <v>389</v>
      </c>
      <c r="BL23">
        <v>4599</v>
      </c>
      <c r="BM23">
        <v>682</v>
      </c>
      <c r="BN23">
        <v>77.976516634099994</v>
      </c>
      <c r="BO23">
        <v>12304</v>
      </c>
      <c r="BP23">
        <v>1048</v>
      </c>
      <c r="BQ23">
        <v>113.9031209363</v>
      </c>
      <c r="BR23">
        <v>111.0830152672</v>
      </c>
      <c r="BS23">
        <v>1557</v>
      </c>
      <c r="BT23">
        <v>326</v>
      </c>
      <c r="BU23">
        <v>85.895953757200004</v>
      </c>
      <c r="BV23">
        <v>13889</v>
      </c>
      <c r="BW23">
        <v>1018</v>
      </c>
      <c r="BX23">
        <v>126.7188422493</v>
      </c>
      <c r="BY23">
        <v>122.2966601179</v>
      </c>
      <c r="CA23" t="s">
        <v>396</v>
      </c>
      <c r="CB23" t="s">
        <v>806</v>
      </c>
      <c r="CC23" t="s">
        <v>1007</v>
      </c>
      <c r="CD23">
        <v>6438</v>
      </c>
      <c r="CE23">
        <v>1334</v>
      </c>
      <c r="CF23">
        <v>90.3752718235</v>
      </c>
      <c r="CG23">
        <v>17258</v>
      </c>
      <c r="CH23">
        <v>1459</v>
      </c>
      <c r="CI23">
        <v>117.7106848998</v>
      </c>
      <c r="CJ23">
        <v>124.2638793694</v>
      </c>
      <c r="CL23" t="s">
        <v>396</v>
      </c>
      <c r="CM23" t="s">
        <v>781</v>
      </c>
      <c r="CN23" t="s">
        <v>787</v>
      </c>
      <c r="CO23">
        <v>553</v>
      </c>
      <c r="CP23">
        <v>81</v>
      </c>
      <c r="CQ23">
        <v>72.898734177199998</v>
      </c>
      <c r="CR23">
        <v>2971</v>
      </c>
      <c r="CS23">
        <v>265</v>
      </c>
      <c r="CT23">
        <v>70.350723662099995</v>
      </c>
      <c r="CU23">
        <v>71.8943396226</v>
      </c>
      <c r="CW23" t="s">
        <v>396</v>
      </c>
      <c r="CX23" t="s">
        <v>794</v>
      </c>
      <c r="CY23" t="s">
        <v>800</v>
      </c>
      <c r="CZ23">
        <v>92</v>
      </c>
      <c r="DA23">
        <v>9</v>
      </c>
      <c r="DB23">
        <v>61.315217391300003</v>
      </c>
      <c r="DC23">
        <v>420</v>
      </c>
      <c r="DD23">
        <v>33</v>
      </c>
      <c r="DE23">
        <v>123.4452380952</v>
      </c>
      <c r="DF23">
        <v>100.0909090909</v>
      </c>
      <c r="DH23" t="s">
        <v>396</v>
      </c>
      <c r="DI23" t="s">
        <v>768</v>
      </c>
      <c r="DJ23" t="s">
        <v>774</v>
      </c>
      <c r="DK23">
        <v>105</v>
      </c>
      <c r="DL23">
        <v>7</v>
      </c>
      <c r="DM23">
        <v>62.7238095238</v>
      </c>
      <c r="DN23">
        <v>380</v>
      </c>
      <c r="DO23">
        <v>23</v>
      </c>
      <c r="DP23">
        <v>124.1578947368</v>
      </c>
      <c r="DQ23">
        <v>110.652173913</v>
      </c>
    </row>
    <row r="24" spans="2:121" x14ac:dyDescent="0.2">
      <c r="B24" t="s">
        <v>128</v>
      </c>
      <c r="C24">
        <v>962</v>
      </c>
      <c r="D24">
        <v>41</v>
      </c>
      <c r="F24" t="s">
        <v>67</v>
      </c>
      <c r="G24">
        <v>868</v>
      </c>
      <c r="H24">
        <v>308.63018433180002</v>
      </c>
      <c r="I24">
        <v>2397</v>
      </c>
      <c r="J24">
        <v>346</v>
      </c>
      <c r="K24">
        <v>3355</v>
      </c>
      <c r="L24">
        <v>813</v>
      </c>
      <c r="M24">
        <v>1466</v>
      </c>
      <c r="N24">
        <v>1371</v>
      </c>
      <c r="O24">
        <v>428</v>
      </c>
      <c r="P24">
        <v>249</v>
      </c>
      <c r="Q24">
        <v>0</v>
      </c>
      <c r="R24">
        <v>1</v>
      </c>
      <c r="T24" t="s">
        <v>646</v>
      </c>
      <c r="U24" t="s">
        <v>306</v>
      </c>
      <c r="V24" t="s">
        <v>133</v>
      </c>
      <c r="W24" t="s">
        <v>214</v>
      </c>
      <c r="X24" t="s">
        <v>215</v>
      </c>
      <c r="Y24" t="s">
        <v>216</v>
      </c>
      <c r="Z24" t="s">
        <v>217</v>
      </c>
      <c r="AA24" t="s">
        <v>218</v>
      </c>
      <c r="AB24" t="s">
        <v>219</v>
      </c>
      <c r="AC24" t="s">
        <v>220</v>
      </c>
      <c r="AD24" t="s">
        <v>221</v>
      </c>
      <c r="AE24" t="s">
        <v>222</v>
      </c>
      <c r="AF24" t="s">
        <v>223</v>
      </c>
      <c r="AH24" t="s">
        <v>370</v>
      </c>
      <c r="AI24">
        <v>3407</v>
      </c>
      <c r="AJ24">
        <v>554.66656882890004</v>
      </c>
      <c r="AK24">
        <v>4387</v>
      </c>
      <c r="AL24">
        <v>865</v>
      </c>
      <c r="AM24">
        <v>7530</v>
      </c>
      <c r="AN24">
        <v>3680</v>
      </c>
      <c r="AO24">
        <v>2552</v>
      </c>
      <c r="AP24">
        <v>2083</v>
      </c>
      <c r="AQ24">
        <v>1281</v>
      </c>
      <c r="AR24">
        <v>953</v>
      </c>
      <c r="AS24">
        <v>798</v>
      </c>
      <c r="AT24">
        <v>12</v>
      </c>
      <c r="AV24" t="s">
        <v>381</v>
      </c>
      <c r="AW24">
        <v>1526</v>
      </c>
      <c r="AX24">
        <v>111.15661861069999</v>
      </c>
      <c r="AY24">
        <v>1406</v>
      </c>
      <c r="AZ24">
        <v>246</v>
      </c>
      <c r="BA24">
        <v>1867</v>
      </c>
      <c r="BB24">
        <v>702</v>
      </c>
      <c r="BC24">
        <v>15</v>
      </c>
      <c r="BD24">
        <v>14</v>
      </c>
      <c r="BE24">
        <v>76</v>
      </c>
      <c r="BF24">
        <v>32</v>
      </c>
      <c r="BG24">
        <v>245</v>
      </c>
      <c r="BH24">
        <v>349</v>
      </c>
      <c r="BJ24" t="s">
        <v>634</v>
      </c>
      <c r="BK24" t="s">
        <v>389</v>
      </c>
      <c r="BL24">
        <v>1373</v>
      </c>
      <c r="BM24">
        <v>240</v>
      </c>
      <c r="BN24">
        <v>76.766205389700005</v>
      </c>
      <c r="BO24">
        <v>2586</v>
      </c>
      <c r="BP24">
        <v>300</v>
      </c>
      <c r="BQ24">
        <v>109.192575406</v>
      </c>
      <c r="BR24">
        <v>122.28333333330001</v>
      </c>
      <c r="BS24">
        <v>695</v>
      </c>
      <c r="BT24">
        <v>188</v>
      </c>
      <c r="BU24">
        <v>97.484892086299993</v>
      </c>
      <c r="BV24">
        <v>4472</v>
      </c>
      <c r="BW24">
        <v>399</v>
      </c>
      <c r="BX24">
        <v>131.05254919500001</v>
      </c>
      <c r="BY24">
        <v>138.99248120300001</v>
      </c>
      <c r="CA24" t="s">
        <v>399</v>
      </c>
      <c r="CB24" t="s">
        <v>806</v>
      </c>
      <c r="CC24" t="s">
        <v>1008</v>
      </c>
      <c r="CD24">
        <v>1809</v>
      </c>
      <c r="CE24">
        <v>217</v>
      </c>
      <c r="CF24">
        <v>71.458817026000006</v>
      </c>
      <c r="CG24">
        <v>6181</v>
      </c>
      <c r="CH24">
        <v>562</v>
      </c>
      <c r="CI24">
        <v>112.0860702152</v>
      </c>
      <c r="CJ24">
        <v>99.220640569400004</v>
      </c>
      <c r="CL24" t="s">
        <v>399</v>
      </c>
      <c r="CM24" t="s">
        <v>781</v>
      </c>
      <c r="CN24" t="s">
        <v>788</v>
      </c>
      <c r="CO24">
        <v>117</v>
      </c>
      <c r="CP24">
        <v>16</v>
      </c>
      <c r="CQ24">
        <v>78.008547008500003</v>
      </c>
      <c r="CR24">
        <v>540</v>
      </c>
      <c r="CS24">
        <v>63</v>
      </c>
      <c r="CT24">
        <v>73.511111111100007</v>
      </c>
      <c r="CU24">
        <v>83.047619047599994</v>
      </c>
      <c r="CW24" t="s">
        <v>399</v>
      </c>
      <c r="CX24" t="s">
        <v>794</v>
      </c>
      <c r="CY24" t="s">
        <v>801</v>
      </c>
      <c r="CZ24">
        <v>36</v>
      </c>
      <c r="DA24">
        <v>5</v>
      </c>
      <c r="DB24">
        <v>65.694444444400006</v>
      </c>
      <c r="DC24">
        <v>103</v>
      </c>
      <c r="DD24">
        <v>7</v>
      </c>
      <c r="DE24">
        <v>118.7281553398</v>
      </c>
      <c r="DF24">
        <v>83.142857142899999</v>
      </c>
      <c r="DH24" t="s">
        <v>399</v>
      </c>
      <c r="DI24" t="s">
        <v>768</v>
      </c>
      <c r="DJ24" t="s">
        <v>775</v>
      </c>
      <c r="DK24">
        <v>67</v>
      </c>
      <c r="DL24">
        <v>1</v>
      </c>
      <c r="DM24">
        <v>50.880597014899998</v>
      </c>
      <c r="DN24">
        <v>194</v>
      </c>
      <c r="DO24">
        <v>15</v>
      </c>
      <c r="DP24">
        <v>117.29896907219999</v>
      </c>
      <c r="DQ24">
        <v>110.46666666669999</v>
      </c>
    </row>
    <row r="25" spans="2:121" x14ac:dyDescent="0.2">
      <c r="B25" t="s">
        <v>1060</v>
      </c>
      <c r="C25">
        <v>269</v>
      </c>
      <c r="D25">
        <v>86</v>
      </c>
      <c r="F25" t="s">
        <v>48</v>
      </c>
      <c r="G25">
        <v>5404</v>
      </c>
      <c r="H25">
        <v>538.03349370839999</v>
      </c>
      <c r="I25">
        <v>4649</v>
      </c>
      <c r="J25">
        <v>835</v>
      </c>
      <c r="K25">
        <v>10888</v>
      </c>
      <c r="L25">
        <v>6772</v>
      </c>
      <c r="M25">
        <v>2206</v>
      </c>
      <c r="N25">
        <v>1618</v>
      </c>
      <c r="O25">
        <v>2485</v>
      </c>
      <c r="P25">
        <v>1875</v>
      </c>
      <c r="Q25">
        <v>1</v>
      </c>
      <c r="R25">
        <v>237</v>
      </c>
      <c r="T25" t="s">
        <v>384</v>
      </c>
      <c r="U25">
        <v>40831</v>
      </c>
      <c r="V25">
        <v>334.25020205240003</v>
      </c>
      <c r="W25">
        <v>66512</v>
      </c>
      <c r="X25">
        <v>12828</v>
      </c>
      <c r="Y25">
        <v>80752</v>
      </c>
      <c r="Z25">
        <v>36084</v>
      </c>
      <c r="AA25">
        <v>21492</v>
      </c>
      <c r="AB25">
        <v>15374</v>
      </c>
      <c r="AC25">
        <v>32854</v>
      </c>
      <c r="AD25">
        <v>20064</v>
      </c>
      <c r="AE25">
        <v>1333</v>
      </c>
      <c r="AF25">
        <v>1145</v>
      </c>
      <c r="AH25" t="s">
        <v>394</v>
      </c>
      <c r="AI25">
        <v>3040</v>
      </c>
      <c r="AJ25">
        <v>373.92105263159999</v>
      </c>
      <c r="AK25">
        <v>8047</v>
      </c>
      <c r="AL25">
        <v>1865</v>
      </c>
      <c r="AM25">
        <v>7784</v>
      </c>
      <c r="AN25">
        <v>3735</v>
      </c>
      <c r="AO25">
        <v>2157</v>
      </c>
      <c r="AP25">
        <v>1819</v>
      </c>
      <c r="AQ25">
        <v>2817</v>
      </c>
      <c r="AR25">
        <v>1589</v>
      </c>
      <c r="AS25">
        <v>1052</v>
      </c>
      <c r="AT25">
        <v>231</v>
      </c>
      <c r="AV25" t="s">
        <v>382</v>
      </c>
      <c r="AW25">
        <v>949</v>
      </c>
      <c r="AX25">
        <v>110.2402528978</v>
      </c>
      <c r="AY25">
        <v>977</v>
      </c>
      <c r="AZ25">
        <v>170</v>
      </c>
      <c r="BA25">
        <v>1172</v>
      </c>
      <c r="BB25">
        <v>446</v>
      </c>
      <c r="BC25">
        <v>0</v>
      </c>
      <c r="BE25">
        <v>46</v>
      </c>
      <c r="BF25">
        <v>8</v>
      </c>
      <c r="BG25">
        <v>164</v>
      </c>
      <c r="BH25">
        <v>230</v>
      </c>
      <c r="BJ25" t="s">
        <v>573</v>
      </c>
      <c r="BK25" t="s">
        <v>389</v>
      </c>
      <c r="BL25">
        <v>6564</v>
      </c>
      <c r="BM25">
        <v>1331</v>
      </c>
      <c r="BN25">
        <v>90.369134673999994</v>
      </c>
      <c r="BO25">
        <v>16307</v>
      </c>
      <c r="BP25">
        <v>1417</v>
      </c>
      <c r="BQ25">
        <v>120.5799963206</v>
      </c>
      <c r="BR25">
        <v>127.7755822159</v>
      </c>
      <c r="BS25">
        <v>2938</v>
      </c>
      <c r="BT25">
        <v>695</v>
      </c>
      <c r="BU25">
        <v>90.771613342400002</v>
      </c>
      <c r="BV25">
        <v>18436</v>
      </c>
      <c r="BW25">
        <v>1707</v>
      </c>
      <c r="BX25">
        <v>123.59204816659999</v>
      </c>
      <c r="BY25">
        <v>125.8535442296</v>
      </c>
      <c r="CA25" t="s">
        <v>418</v>
      </c>
      <c r="CB25" t="s">
        <v>806</v>
      </c>
      <c r="CC25" t="s">
        <v>1009</v>
      </c>
      <c r="CD25">
        <v>616</v>
      </c>
      <c r="CE25">
        <v>82</v>
      </c>
      <c r="CF25">
        <v>71.701298701300004</v>
      </c>
      <c r="CG25">
        <v>2157</v>
      </c>
      <c r="CH25">
        <v>198</v>
      </c>
      <c r="CI25">
        <v>98.667593880400005</v>
      </c>
      <c r="CJ25">
        <v>95.010101010100001</v>
      </c>
      <c r="CL25" t="s">
        <v>418</v>
      </c>
      <c r="CM25" t="s">
        <v>781</v>
      </c>
      <c r="CN25" t="s">
        <v>789</v>
      </c>
      <c r="CO25">
        <v>36</v>
      </c>
      <c r="CP25">
        <v>3</v>
      </c>
      <c r="CQ25">
        <v>55.055555555600002</v>
      </c>
      <c r="CR25">
        <v>202</v>
      </c>
      <c r="CS25">
        <v>12</v>
      </c>
      <c r="CT25">
        <v>64.391089108900005</v>
      </c>
      <c r="CU25">
        <v>81.666666666699996</v>
      </c>
      <c r="CW25" t="s">
        <v>418</v>
      </c>
      <c r="CX25" t="s">
        <v>794</v>
      </c>
      <c r="CY25" t="s">
        <v>802</v>
      </c>
      <c r="CZ25">
        <v>6</v>
      </c>
      <c r="DA25">
        <v>1</v>
      </c>
      <c r="DB25">
        <v>55.5</v>
      </c>
      <c r="DC25">
        <v>37</v>
      </c>
      <c r="DD25">
        <v>3</v>
      </c>
      <c r="DE25">
        <v>114.5135135135</v>
      </c>
      <c r="DF25">
        <v>174.3333333333</v>
      </c>
      <c r="DH25" t="s">
        <v>418</v>
      </c>
      <c r="DI25" t="s">
        <v>768</v>
      </c>
      <c r="DJ25" t="s">
        <v>776</v>
      </c>
      <c r="DK25">
        <v>12</v>
      </c>
      <c r="DL25">
        <v>1</v>
      </c>
      <c r="DM25">
        <v>61.75</v>
      </c>
      <c r="DN25">
        <v>14</v>
      </c>
      <c r="DO25">
        <v>2</v>
      </c>
      <c r="DP25">
        <v>99.142857142899999</v>
      </c>
      <c r="DQ25">
        <v>29</v>
      </c>
    </row>
    <row r="26" spans="2:121" x14ac:dyDescent="0.2">
      <c r="B26" t="s">
        <v>118</v>
      </c>
      <c r="C26">
        <v>23</v>
      </c>
      <c r="D26">
        <v>16</v>
      </c>
      <c r="F26" t="s">
        <v>58</v>
      </c>
      <c r="G26">
        <v>3284</v>
      </c>
      <c r="H26">
        <v>288.79902557859998</v>
      </c>
      <c r="I26">
        <v>9178</v>
      </c>
      <c r="J26">
        <v>1492</v>
      </c>
      <c r="K26">
        <v>8578</v>
      </c>
      <c r="L26">
        <v>2943</v>
      </c>
      <c r="M26">
        <v>3087</v>
      </c>
      <c r="N26">
        <v>2474</v>
      </c>
      <c r="O26">
        <v>1450</v>
      </c>
      <c r="P26">
        <v>1095</v>
      </c>
      <c r="Q26">
        <v>1</v>
      </c>
      <c r="R26">
        <v>284</v>
      </c>
      <c r="T26" t="s">
        <v>389</v>
      </c>
      <c r="U26">
        <v>29337</v>
      </c>
      <c r="V26">
        <v>382.4091420391</v>
      </c>
      <c r="W26">
        <v>53706</v>
      </c>
      <c r="X26">
        <v>10239</v>
      </c>
      <c r="Y26">
        <v>65436</v>
      </c>
      <c r="Z26">
        <v>27288</v>
      </c>
      <c r="AA26">
        <v>17234</v>
      </c>
      <c r="AB26">
        <v>13539</v>
      </c>
      <c r="AC26">
        <v>22772</v>
      </c>
      <c r="AD26">
        <v>15183</v>
      </c>
      <c r="AE26">
        <v>5656</v>
      </c>
      <c r="AF26">
        <v>1137</v>
      </c>
      <c r="AH26" t="s">
        <v>400</v>
      </c>
      <c r="AI26">
        <v>1469</v>
      </c>
      <c r="AJ26">
        <v>179.48400272289999</v>
      </c>
      <c r="AK26">
        <v>5199</v>
      </c>
      <c r="AL26">
        <v>709</v>
      </c>
      <c r="AM26">
        <v>5263</v>
      </c>
      <c r="AN26">
        <v>921</v>
      </c>
      <c r="AO26">
        <v>1053</v>
      </c>
      <c r="AP26">
        <v>576</v>
      </c>
      <c r="AQ26">
        <v>1182</v>
      </c>
      <c r="AR26">
        <v>704</v>
      </c>
      <c r="AS26">
        <v>10</v>
      </c>
      <c r="AT26">
        <v>5</v>
      </c>
      <c r="AV26" t="s">
        <v>416</v>
      </c>
      <c r="AW26">
        <v>43</v>
      </c>
      <c r="AX26">
        <v>110.1627906977</v>
      </c>
      <c r="AY26">
        <v>47</v>
      </c>
      <c r="AZ26">
        <v>11</v>
      </c>
      <c r="BA26">
        <v>55</v>
      </c>
      <c r="BB26">
        <v>18</v>
      </c>
      <c r="BC26">
        <v>0</v>
      </c>
      <c r="BE26">
        <v>2</v>
      </c>
      <c r="BF26">
        <v>1</v>
      </c>
      <c r="BG26">
        <v>9</v>
      </c>
      <c r="BH26">
        <v>8</v>
      </c>
      <c r="BJ26" t="s">
        <v>579</v>
      </c>
      <c r="BK26" t="s">
        <v>389</v>
      </c>
      <c r="BL26">
        <v>8207</v>
      </c>
      <c r="BM26">
        <v>1424</v>
      </c>
      <c r="BN26">
        <v>83.528816863700001</v>
      </c>
      <c r="BO26">
        <v>20546</v>
      </c>
      <c r="BP26">
        <v>1759</v>
      </c>
      <c r="BQ26">
        <v>115.7294363866</v>
      </c>
      <c r="BR26">
        <v>122.2654917567</v>
      </c>
      <c r="BS26">
        <v>2634</v>
      </c>
      <c r="BT26">
        <v>557</v>
      </c>
      <c r="BU26">
        <v>95.923690205</v>
      </c>
      <c r="BV26">
        <v>24959</v>
      </c>
      <c r="BW26">
        <v>2194</v>
      </c>
      <c r="BX26">
        <v>125.3132337033</v>
      </c>
      <c r="BY26">
        <v>126.52825888789999</v>
      </c>
      <c r="CA26" t="s">
        <v>390</v>
      </c>
      <c r="CB26" t="s">
        <v>806</v>
      </c>
      <c r="CC26" t="s">
        <v>1010</v>
      </c>
      <c r="CD26">
        <v>8088</v>
      </c>
      <c r="CE26">
        <v>1492</v>
      </c>
      <c r="CF26">
        <v>95.341246290800001</v>
      </c>
      <c r="CG26">
        <v>24618</v>
      </c>
      <c r="CH26">
        <v>1991</v>
      </c>
      <c r="CI26">
        <v>128.0202697213</v>
      </c>
      <c r="CJ26">
        <v>127.6007031642</v>
      </c>
      <c r="CL26" t="s">
        <v>390</v>
      </c>
      <c r="CM26" t="s">
        <v>781</v>
      </c>
      <c r="CN26" t="s">
        <v>790</v>
      </c>
      <c r="CO26">
        <v>754</v>
      </c>
      <c r="CP26">
        <v>99</v>
      </c>
      <c r="CQ26">
        <v>76.1564986737</v>
      </c>
      <c r="CR26">
        <v>4762</v>
      </c>
      <c r="CS26">
        <v>399</v>
      </c>
      <c r="CT26">
        <v>71.473750525</v>
      </c>
      <c r="CU26">
        <v>73.368421052599999</v>
      </c>
      <c r="CW26" t="s">
        <v>390</v>
      </c>
      <c r="CX26" t="s">
        <v>794</v>
      </c>
      <c r="CY26" t="s">
        <v>803</v>
      </c>
      <c r="CZ26">
        <v>154</v>
      </c>
      <c r="DA26">
        <v>15</v>
      </c>
      <c r="DB26">
        <v>63.597402597399999</v>
      </c>
      <c r="DC26">
        <v>542</v>
      </c>
      <c r="DD26">
        <v>39</v>
      </c>
      <c r="DE26">
        <v>136.19557195569999</v>
      </c>
      <c r="DF26">
        <v>122.7435897436</v>
      </c>
      <c r="DH26" t="s">
        <v>390</v>
      </c>
      <c r="DI26" t="s">
        <v>768</v>
      </c>
      <c r="DJ26" t="s">
        <v>777</v>
      </c>
      <c r="DK26">
        <v>123</v>
      </c>
      <c r="DL26">
        <v>26</v>
      </c>
      <c r="DM26">
        <v>82.463414634100005</v>
      </c>
      <c r="DN26">
        <v>381</v>
      </c>
      <c r="DO26">
        <v>39</v>
      </c>
      <c r="DP26">
        <v>131.40944881889999</v>
      </c>
      <c r="DQ26">
        <v>139.28205128210001</v>
      </c>
    </row>
    <row r="27" spans="2:121" x14ac:dyDescent="0.2">
      <c r="B27" t="s">
        <v>90</v>
      </c>
      <c r="C27">
        <v>10264</v>
      </c>
      <c r="D27">
        <v>1944</v>
      </c>
      <c r="F27" t="s">
        <v>27</v>
      </c>
      <c r="G27">
        <v>1106</v>
      </c>
      <c r="H27">
        <v>82.810126582300001</v>
      </c>
      <c r="I27">
        <v>5779</v>
      </c>
      <c r="J27">
        <v>507</v>
      </c>
      <c r="K27">
        <v>5715</v>
      </c>
      <c r="L27">
        <v>740</v>
      </c>
      <c r="M27">
        <v>952</v>
      </c>
      <c r="N27">
        <v>351</v>
      </c>
      <c r="O27">
        <v>1583</v>
      </c>
      <c r="P27">
        <v>1023</v>
      </c>
      <c r="Q27">
        <v>1</v>
      </c>
      <c r="R27">
        <v>15</v>
      </c>
      <c r="T27" t="s">
        <v>368</v>
      </c>
      <c r="U27">
        <v>56742</v>
      </c>
      <c r="V27">
        <v>393.90684149309999</v>
      </c>
      <c r="W27">
        <v>73886</v>
      </c>
      <c r="X27">
        <v>16435</v>
      </c>
      <c r="Y27">
        <v>103128</v>
      </c>
      <c r="Z27">
        <v>51614</v>
      </c>
      <c r="AA27">
        <v>34497</v>
      </c>
      <c r="AB27">
        <v>27674</v>
      </c>
      <c r="AC27">
        <v>39683</v>
      </c>
      <c r="AD27">
        <v>28900</v>
      </c>
      <c r="AE27">
        <v>9473</v>
      </c>
      <c r="AF27">
        <v>138</v>
      </c>
      <c r="AH27" t="s">
        <v>388</v>
      </c>
      <c r="AI27">
        <v>3191</v>
      </c>
      <c r="AJ27">
        <v>396.21121905360002</v>
      </c>
      <c r="AK27">
        <v>4833</v>
      </c>
      <c r="AL27">
        <v>1440</v>
      </c>
      <c r="AM27">
        <v>6901</v>
      </c>
      <c r="AN27">
        <v>3790</v>
      </c>
      <c r="AO27">
        <v>1916</v>
      </c>
      <c r="AP27">
        <v>1341</v>
      </c>
      <c r="AQ27">
        <v>1781</v>
      </c>
      <c r="AR27">
        <v>1197</v>
      </c>
      <c r="AS27">
        <v>483</v>
      </c>
      <c r="AT27">
        <v>243</v>
      </c>
      <c r="AV27" t="s">
        <v>418</v>
      </c>
      <c r="AW27">
        <v>35</v>
      </c>
      <c r="AX27">
        <v>77.1714285714</v>
      </c>
      <c r="AY27">
        <v>24</v>
      </c>
      <c r="BA27">
        <v>52</v>
      </c>
      <c r="BB27">
        <v>9</v>
      </c>
      <c r="BC27">
        <v>0</v>
      </c>
      <c r="BE27">
        <v>0</v>
      </c>
      <c r="BG27">
        <v>64</v>
      </c>
      <c r="BH27">
        <v>12</v>
      </c>
      <c r="BJ27" t="s">
        <v>638</v>
      </c>
      <c r="BK27" t="s">
        <v>389</v>
      </c>
      <c r="BL27">
        <v>2556</v>
      </c>
      <c r="BM27">
        <v>392</v>
      </c>
      <c r="BN27">
        <v>76.226525821600006</v>
      </c>
      <c r="BO27">
        <v>7215</v>
      </c>
      <c r="BP27">
        <v>539</v>
      </c>
      <c r="BQ27">
        <v>121.58613998609999</v>
      </c>
      <c r="BR27">
        <v>114.7254174397</v>
      </c>
      <c r="BS27">
        <v>812</v>
      </c>
      <c r="BT27">
        <v>218</v>
      </c>
      <c r="BU27">
        <v>97.126847290599997</v>
      </c>
      <c r="BV27">
        <v>6243</v>
      </c>
      <c r="BW27">
        <v>678</v>
      </c>
      <c r="BX27">
        <v>122.47429120619999</v>
      </c>
      <c r="BY27">
        <v>120.2684365782</v>
      </c>
      <c r="CA27" t="s">
        <v>419</v>
      </c>
      <c r="CB27" t="s">
        <v>806</v>
      </c>
      <c r="CC27" t="s">
        <v>1011</v>
      </c>
      <c r="CD27">
        <v>1060</v>
      </c>
      <c r="CE27">
        <v>252</v>
      </c>
      <c r="CF27">
        <v>90.566981132099997</v>
      </c>
      <c r="CG27">
        <v>2721</v>
      </c>
      <c r="CH27">
        <v>301</v>
      </c>
      <c r="CI27">
        <v>107.90371187060001</v>
      </c>
      <c r="CJ27">
        <v>114.9568106312</v>
      </c>
      <c r="CL27" t="s">
        <v>419</v>
      </c>
      <c r="CM27" t="s">
        <v>781</v>
      </c>
      <c r="CN27" t="s">
        <v>791</v>
      </c>
      <c r="CO27">
        <v>58</v>
      </c>
      <c r="CP27">
        <v>4</v>
      </c>
      <c r="CQ27">
        <v>56.5</v>
      </c>
      <c r="CR27">
        <v>380</v>
      </c>
      <c r="CS27">
        <v>44</v>
      </c>
      <c r="CT27">
        <v>62.423684210499999</v>
      </c>
      <c r="CU27">
        <v>70.5</v>
      </c>
      <c r="CW27" t="s">
        <v>419</v>
      </c>
      <c r="CX27" t="s">
        <v>794</v>
      </c>
      <c r="CY27" t="s">
        <v>804</v>
      </c>
      <c r="CZ27">
        <v>11</v>
      </c>
      <c r="DA27">
        <v>1</v>
      </c>
      <c r="DB27">
        <v>66.272727272699996</v>
      </c>
      <c r="DC27">
        <v>30</v>
      </c>
      <c r="DD27">
        <v>2</v>
      </c>
      <c r="DE27">
        <v>135.03333333329999</v>
      </c>
      <c r="DF27">
        <v>14</v>
      </c>
      <c r="DH27" t="s">
        <v>419</v>
      </c>
      <c r="DI27" t="s">
        <v>768</v>
      </c>
      <c r="DJ27" t="s">
        <v>778</v>
      </c>
      <c r="DK27">
        <v>8</v>
      </c>
      <c r="DL27">
        <v>0</v>
      </c>
      <c r="DM27">
        <v>61.625</v>
      </c>
      <c r="DN27">
        <v>25</v>
      </c>
      <c r="DO27">
        <v>3</v>
      </c>
      <c r="DP27">
        <v>151.28</v>
      </c>
      <c r="DQ27">
        <v>136.3333333333</v>
      </c>
    </row>
    <row r="28" spans="2:121" x14ac:dyDescent="0.2">
      <c r="B28" t="s">
        <v>95</v>
      </c>
      <c r="C28">
        <v>1173</v>
      </c>
      <c r="D28">
        <v>729</v>
      </c>
      <c r="F28" t="s">
        <v>53</v>
      </c>
      <c r="G28">
        <v>6536</v>
      </c>
      <c r="H28">
        <v>474.40253977970002</v>
      </c>
      <c r="I28">
        <v>4168</v>
      </c>
      <c r="J28">
        <v>964</v>
      </c>
      <c r="K28">
        <v>10231</v>
      </c>
      <c r="L28">
        <v>6785</v>
      </c>
      <c r="M28">
        <v>3323</v>
      </c>
      <c r="N28">
        <v>3119</v>
      </c>
      <c r="O28">
        <v>1680</v>
      </c>
      <c r="P28">
        <v>1272</v>
      </c>
      <c r="Q28">
        <v>90</v>
      </c>
      <c r="R28">
        <v>314</v>
      </c>
      <c r="T28" t="s">
        <v>8</v>
      </c>
      <c r="U28">
        <v>3041</v>
      </c>
      <c r="V28">
        <v>335.76389345609999</v>
      </c>
      <c r="W28">
        <v>4452</v>
      </c>
      <c r="X28">
        <v>1719</v>
      </c>
      <c r="Y28">
        <v>5047</v>
      </c>
      <c r="Z28">
        <v>2852</v>
      </c>
      <c r="AA28">
        <v>1504</v>
      </c>
      <c r="AB28">
        <v>1006</v>
      </c>
      <c r="AC28">
        <v>1316</v>
      </c>
      <c r="AD28">
        <v>839</v>
      </c>
      <c r="AE28">
        <v>502</v>
      </c>
      <c r="AF28">
        <v>151</v>
      </c>
      <c r="AH28" t="s">
        <v>396</v>
      </c>
      <c r="AI28">
        <v>3651</v>
      </c>
      <c r="AJ28">
        <v>240.7181594084</v>
      </c>
      <c r="AK28">
        <v>6436</v>
      </c>
      <c r="AL28">
        <v>1308</v>
      </c>
      <c r="AM28">
        <v>7703</v>
      </c>
      <c r="AN28">
        <v>3198</v>
      </c>
      <c r="AO28">
        <v>2446</v>
      </c>
      <c r="AP28">
        <v>2034</v>
      </c>
      <c r="AQ28">
        <v>4600</v>
      </c>
      <c r="AR28">
        <v>3379</v>
      </c>
      <c r="AS28">
        <v>990</v>
      </c>
      <c r="AT28">
        <v>63</v>
      </c>
      <c r="AV28" t="s">
        <v>375</v>
      </c>
      <c r="AW28">
        <v>321</v>
      </c>
      <c r="AX28">
        <v>99.330218068500002</v>
      </c>
      <c r="AY28">
        <v>539</v>
      </c>
      <c r="AZ28">
        <v>93</v>
      </c>
      <c r="BA28">
        <v>507</v>
      </c>
      <c r="BB28">
        <v>153</v>
      </c>
      <c r="BC28">
        <v>6</v>
      </c>
      <c r="BD28">
        <v>5</v>
      </c>
      <c r="BE28">
        <v>20</v>
      </c>
      <c r="BF28">
        <v>7</v>
      </c>
      <c r="BG28">
        <v>87</v>
      </c>
      <c r="BH28">
        <v>144</v>
      </c>
      <c r="BJ28" t="s">
        <v>532</v>
      </c>
      <c r="BK28" t="s">
        <v>368</v>
      </c>
      <c r="BL28">
        <v>5573</v>
      </c>
      <c r="BM28">
        <v>1249</v>
      </c>
      <c r="BN28">
        <v>94.357078772700007</v>
      </c>
      <c r="BO28">
        <v>12881</v>
      </c>
      <c r="BP28">
        <v>1505</v>
      </c>
      <c r="BQ28">
        <v>142.63838211320001</v>
      </c>
      <c r="BR28">
        <v>140.89169435220001</v>
      </c>
      <c r="BS28">
        <v>825</v>
      </c>
      <c r="BT28">
        <v>269</v>
      </c>
      <c r="BU28">
        <v>117.1018181818</v>
      </c>
      <c r="BV28">
        <v>6572</v>
      </c>
      <c r="BW28">
        <v>407</v>
      </c>
      <c r="BX28">
        <v>143.91463785760001</v>
      </c>
      <c r="BY28">
        <v>170.71744471740001</v>
      </c>
      <c r="CA28" t="s">
        <v>395</v>
      </c>
      <c r="CB28" t="s">
        <v>806</v>
      </c>
      <c r="CC28" t="s">
        <v>1012</v>
      </c>
      <c r="CD28">
        <v>4112</v>
      </c>
      <c r="CE28">
        <v>627</v>
      </c>
      <c r="CF28">
        <v>78.570282101199993</v>
      </c>
      <c r="CG28">
        <v>11524</v>
      </c>
      <c r="CH28">
        <v>944</v>
      </c>
      <c r="CI28">
        <v>112.84571329400001</v>
      </c>
      <c r="CJ28">
        <v>111.0519067797</v>
      </c>
      <c r="CL28" t="s">
        <v>395</v>
      </c>
      <c r="CM28" t="s">
        <v>781</v>
      </c>
      <c r="CN28" t="s">
        <v>792</v>
      </c>
      <c r="CO28">
        <v>283</v>
      </c>
      <c r="CP28">
        <v>28</v>
      </c>
      <c r="CQ28">
        <v>62.982332155500004</v>
      </c>
      <c r="CR28">
        <v>1842</v>
      </c>
      <c r="CS28">
        <v>166</v>
      </c>
      <c r="CT28">
        <v>60.2111834962</v>
      </c>
      <c r="CU28">
        <v>62.433734939799997</v>
      </c>
      <c r="CW28" t="s">
        <v>395</v>
      </c>
      <c r="CX28" t="s">
        <v>794</v>
      </c>
      <c r="CY28" t="s">
        <v>805</v>
      </c>
      <c r="CZ28">
        <v>55</v>
      </c>
      <c r="DA28">
        <v>7</v>
      </c>
      <c r="DB28">
        <v>68.418181818199997</v>
      </c>
      <c r="DC28">
        <v>216</v>
      </c>
      <c r="DD28">
        <v>20</v>
      </c>
      <c r="DE28">
        <v>125.5787037037</v>
      </c>
      <c r="DF28">
        <v>113.65</v>
      </c>
      <c r="DH28" t="s">
        <v>395</v>
      </c>
      <c r="DI28" t="s">
        <v>768</v>
      </c>
      <c r="DJ28" t="s">
        <v>779</v>
      </c>
      <c r="DK28">
        <v>40</v>
      </c>
      <c r="DL28">
        <v>11</v>
      </c>
      <c r="DM28">
        <v>101.02500000000001</v>
      </c>
      <c r="DN28">
        <v>140</v>
      </c>
      <c r="DO28">
        <v>14</v>
      </c>
      <c r="DP28">
        <v>124.07142857140001</v>
      </c>
      <c r="DQ28">
        <v>139.8571428571</v>
      </c>
    </row>
    <row r="29" spans="2:121" x14ac:dyDescent="0.2">
      <c r="B29" t="s">
        <v>94</v>
      </c>
      <c r="C29">
        <v>232</v>
      </c>
      <c r="D29">
        <v>198</v>
      </c>
      <c r="F29" t="s">
        <v>68</v>
      </c>
      <c r="G29">
        <v>2418</v>
      </c>
      <c r="H29">
        <v>451.93134822169998</v>
      </c>
      <c r="I29">
        <v>3717</v>
      </c>
      <c r="J29">
        <v>956</v>
      </c>
      <c r="K29">
        <v>3747</v>
      </c>
      <c r="L29">
        <v>2198</v>
      </c>
      <c r="M29">
        <v>616</v>
      </c>
      <c r="N29">
        <v>480</v>
      </c>
      <c r="O29">
        <v>1172</v>
      </c>
      <c r="P29">
        <v>962</v>
      </c>
      <c r="Q29">
        <v>0</v>
      </c>
      <c r="R29">
        <v>126</v>
      </c>
      <c r="T29" t="s">
        <v>403</v>
      </c>
      <c r="U29">
        <v>43395</v>
      </c>
      <c r="V29">
        <v>387.89468832810002</v>
      </c>
      <c r="W29">
        <v>63554</v>
      </c>
      <c r="X29">
        <v>12602</v>
      </c>
      <c r="Y29">
        <v>84263</v>
      </c>
      <c r="Z29">
        <v>43625</v>
      </c>
      <c r="AA29">
        <v>24003</v>
      </c>
      <c r="AB29">
        <v>18093</v>
      </c>
      <c r="AC29">
        <v>31467</v>
      </c>
      <c r="AD29">
        <v>22301</v>
      </c>
      <c r="AE29">
        <v>103</v>
      </c>
      <c r="AF29">
        <v>657</v>
      </c>
      <c r="AH29" t="s">
        <v>417</v>
      </c>
      <c r="AI29">
        <v>414</v>
      </c>
      <c r="AJ29">
        <v>236.51207729469999</v>
      </c>
      <c r="AK29">
        <v>753</v>
      </c>
      <c r="AL29">
        <v>61</v>
      </c>
      <c r="AM29">
        <v>1247</v>
      </c>
      <c r="AN29">
        <v>283</v>
      </c>
      <c r="AO29">
        <v>366</v>
      </c>
      <c r="AP29">
        <v>215</v>
      </c>
      <c r="AQ29">
        <v>434</v>
      </c>
      <c r="AR29">
        <v>252</v>
      </c>
      <c r="AS29">
        <v>1</v>
      </c>
      <c r="AT29">
        <v>5</v>
      </c>
      <c r="AV29" t="s">
        <v>377</v>
      </c>
      <c r="AW29">
        <v>785</v>
      </c>
      <c r="AX29">
        <v>104.0955414013</v>
      </c>
      <c r="AY29">
        <v>874</v>
      </c>
      <c r="AZ29">
        <v>136</v>
      </c>
      <c r="BA29">
        <v>1062</v>
      </c>
      <c r="BB29">
        <v>310</v>
      </c>
      <c r="BC29">
        <v>134</v>
      </c>
      <c r="BD29">
        <v>131</v>
      </c>
      <c r="BE29">
        <v>39</v>
      </c>
      <c r="BF29">
        <v>20</v>
      </c>
      <c r="BG29">
        <v>208</v>
      </c>
      <c r="BH29">
        <v>257</v>
      </c>
      <c r="BJ29" t="s">
        <v>511</v>
      </c>
      <c r="BK29" t="s">
        <v>368</v>
      </c>
      <c r="BL29">
        <v>3475</v>
      </c>
      <c r="BM29">
        <v>652</v>
      </c>
      <c r="BN29">
        <v>84.675683453199994</v>
      </c>
      <c r="BO29">
        <v>9445</v>
      </c>
      <c r="BP29">
        <v>826</v>
      </c>
      <c r="BQ29">
        <v>130.48904182109999</v>
      </c>
      <c r="BR29">
        <v>124.8547215496</v>
      </c>
      <c r="BS29">
        <v>1051</v>
      </c>
      <c r="BT29">
        <v>309</v>
      </c>
      <c r="BU29">
        <v>102.2112274025</v>
      </c>
      <c r="BV29">
        <v>8122</v>
      </c>
      <c r="BW29">
        <v>878</v>
      </c>
      <c r="BX29">
        <v>130.8444964295</v>
      </c>
      <c r="BY29">
        <v>123.9920273349</v>
      </c>
      <c r="CA29" t="s">
        <v>389</v>
      </c>
      <c r="CB29" t="s">
        <v>806</v>
      </c>
      <c r="CD29">
        <v>53335</v>
      </c>
      <c r="CE29">
        <v>9914</v>
      </c>
      <c r="CF29">
        <v>88.140376863200004</v>
      </c>
      <c r="CG29">
        <v>148527</v>
      </c>
      <c r="CH29">
        <v>13184</v>
      </c>
      <c r="CI29">
        <v>121.94066398699999</v>
      </c>
      <c r="CJ29">
        <v>121.0767597087</v>
      </c>
      <c r="CL29" t="s">
        <v>389</v>
      </c>
      <c r="CM29" t="s">
        <v>781</v>
      </c>
      <c r="CO29">
        <v>4346</v>
      </c>
      <c r="CP29">
        <v>506</v>
      </c>
      <c r="CQ29">
        <v>69.464335020700005</v>
      </c>
      <c r="CR29">
        <v>25359</v>
      </c>
      <c r="CS29">
        <v>2231</v>
      </c>
      <c r="CT29">
        <v>69.830119484199997</v>
      </c>
      <c r="CU29">
        <v>71.445091887000004</v>
      </c>
      <c r="CW29" t="s">
        <v>389</v>
      </c>
      <c r="CX29" t="s">
        <v>794</v>
      </c>
      <c r="CZ29">
        <v>835</v>
      </c>
      <c r="DA29">
        <v>94</v>
      </c>
      <c r="DB29">
        <v>64.253892215600004</v>
      </c>
      <c r="DC29">
        <v>2983</v>
      </c>
      <c r="DD29">
        <v>283</v>
      </c>
      <c r="DE29">
        <v>131.1394569226</v>
      </c>
      <c r="DF29">
        <v>110.90812720850001</v>
      </c>
      <c r="DH29" t="s">
        <v>389</v>
      </c>
      <c r="DI29" t="s">
        <v>768</v>
      </c>
      <c r="DK29">
        <v>794</v>
      </c>
      <c r="DL29">
        <v>101</v>
      </c>
      <c r="DM29">
        <v>71.021410579299996</v>
      </c>
      <c r="DN29">
        <v>2625</v>
      </c>
      <c r="DO29">
        <v>216</v>
      </c>
      <c r="DP29">
        <v>125.3718095238</v>
      </c>
      <c r="DQ29">
        <v>121.8148148148</v>
      </c>
    </row>
    <row r="30" spans="2:121" x14ac:dyDescent="0.2">
      <c r="B30" t="s">
        <v>119</v>
      </c>
      <c r="C30">
        <v>38</v>
      </c>
      <c r="D30">
        <v>32</v>
      </c>
      <c r="F30" t="s">
        <v>42</v>
      </c>
      <c r="G30">
        <v>2542</v>
      </c>
      <c r="H30">
        <v>391.96616837139999</v>
      </c>
      <c r="I30">
        <v>7458</v>
      </c>
      <c r="J30">
        <v>1738</v>
      </c>
      <c r="K30">
        <v>7923</v>
      </c>
      <c r="L30">
        <v>3581</v>
      </c>
      <c r="M30">
        <v>2690</v>
      </c>
      <c r="N30">
        <v>2421</v>
      </c>
      <c r="O30">
        <v>1119</v>
      </c>
      <c r="P30">
        <v>536</v>
      </c>
      <c r="Q30">
        <v>1</v>
      </c>
      <c r="R30">
        <v>225</v>
      </c>
      <c r="T30" t="s">
        <v>379</v>
      </c>
      <c r="U30">
        <v>59698</v>
      </c>
      <c r="V30">
        <v>354.11904921439998</v>
      </c>
      <c r="W30">
        <v>79850</v>
      </c>
      <c r="X30">
        <v>18601</v>
      </c>
      <c r="Y30">
        <v>107230</v>
      </c>
      <c r="Z30">
        <v>58049</v>
      </c>
      <c r="AA30">
        <v>30708</v>
      </c>
      <c r="AB30">
        <v>24926</v>
      </c>
      <c r="AC30">
        <v>43268</v>
      </c>
      <c r="AD30">
        <v>30450</v>
      </c>
      <c r="AE30">
        <v>6604</v>
      </c>
      <c r="AF30">
        <v>1284</v>
      </c>
      <c r="AH30" t="s">
        <v>399</v>
      </c>
      <c r="AI30">
        <v>766</v>
      </c>
      <c r="AJ30">
        <v>175.95822454309999</v>
      </c>
      <c r="AK30">
        <v>1920</v>
      </c>
      <c r="AL30">
        <v>237</v>
      </c>
      <c r="AM30">
        <v>2226</v>
      </c>
      <c r="AN30">
        <v>454</v>
      </c>
      <c r="AO30">
        <v>707</v>
      </c>
      <c r="AP30">
        <v>445</v>
      </c>
      <c r="AQ30">
        <v>705</v>
      </c>
      <c r="AR30">
        <v>356</v>
      </c>
      <c r="AS30">
        <v>5</v>
      </c>
      <c r="AT30">
        <v>14</v>
      </c>
      <c r="AV30" t="s">
        <v>390</v>
      </c>
      <c r="AW30">
        <v>552</v>
      </c>
      <c r="AX30">
        <v>58.829710144899998</v>
      </c>
      <c r="AY30">
        <v>1114</v>
      </c>
      <c r="AZ30">
        <v>129</v>
      </c>
      <c r="BA30">
        <v>965</v>
      </c>
      <c r="BB30">
        <v>87</v>
      </c>
      <c r="BC30">
        <v>1</v>
      </c>
      <c r="BD30">
        <v>1</v>
      </c>
      <c r="BE30">
        <v>84</v>
      </c>
      <c r="BF30">
        <v>17</v>
      </c>
      <c r="BG30">
        <v>124</v>
      </c>
      <c r="BH30">
        <v>129</v>
      </c>
      <c r="BJ30" t="s">
        <v>519</v>
      </c>
      <c r="BK30" t="s">
        <v>368</v>
      </c>
      <c r="BL30">
        <v>3827</v>
      </c>
      <c r="BM30">
        <v>728</v>
      </c>
      <c r="BN30">
        <v>86.420433760099996</v>
      </c>
      <c r="BO30">
        <v>10694</v>
      </c>
      <c r="BP30">
        <v>1000</v>
      </c>
      <c r="BQ30">
        <v>133.51215634939999</v>
      </c>
      <c r="BR30">
        <v>126.099</v>
      </c>
      <c r="BS30">
        <v>993</v>
      </c>
      <c r="BT30">
        <v>307</v>
      </c>
      <c r="BU30">
        <v>101.95770392750001</v>
      </c>
      <c r="BV30">
        <v>8526</v>
      </c>
      <c r="BW30">
        <v>643</v>
      </c>
      <c r="BX30">
        <v>133.8632418485</v>
      </c>
      <c r="BY30">
        <v>155.3685847589</v>
      </c>
      <c r="CA30" t="s">
        <v>372</v>
      </c>
      <c r="CB30" t="s">
        <v>855</v>
      </c>
      <c r="CC30" t="s">
        <v>978</v>
      </c>
      <c r="CD30">
        <v>1891</v>
      </c>
      <c r="CE30">
        <v>291</v>
      </c>
      <c r="CF30">
        <v>81.677948175599994</v>
      </c>
      <c r="CG30">
        <v>5558</v>
      </c>
      <c r="CH30">
        <v>513</v>
      </c>
      <c r="CI30">
        <v>112.88287153650001</v>
      </c>
      <c r="CJ30">
        <v>106.3196881092</v>
      </c>
      <c r="CL30" t="s">
        <v>372</v>
      </c>
      <c r="CM30" t="s">
        <v>824</v>
      </c>
      <c r="CN30" t="s">
        <v>823</v>
      </c>
      <c r="CO30">
        <v>251</v>
      </c>
      <c r="CP30">
        <v>23</v>
      </c>
      <c r="CQ30">
        <v>66.776892430299995</v>
      </c>
      <c r="CR30">
        <v>742</v>
      </c>
      <c r="CS30">
        <v>107</v>
      </c>
      <c r="CT30">
        <v>97.963611859799997</v>
      </c>
      <c r="CU30">
        <v>95.878504672899993</v>
      </c>
      <c r="CW30" t="s">
        <v>372</v>
      </c>
      <c r="CX30" t="s">
        <v>840</v>
      </c>
      <c r="CY30" t="s">
        <v>839</v>
      </c>
      <c r="CZ30">
        <v>48</v>
      </c>
      <c r="DA30">
        <v>5</v>
      </c>
      <c r="DB30">
        <v>67</v>
      </c>
      <c r="DC30">
        <v>121</v>
      </c>
      <c r="DD30">
        <v>13</v>
      </c>
      <c r="DE30">
        <v>135.39669421490001</v>
      </c>
      <c r="DF30">
        <v>88.769230769200007</v>
      </c>
      <c r="DH30" t="s">
        <v>372</v>
      </c>
      <c r="DI30" t="s">
        <v>808</v>
      </c>
      <c r="DJ30" t="s">
        <v>807</v>
      </c>
      <c r="DK30">
        <v>29</v>
      </c>
      <c r="DL30">
        <v>1</v>
      </c>
      <c r="DM30">
        <v>63.482758620699997</v>
      </c>
      <c r="DN30">
        <v>134</v>
      </c>
      <c r="DO30">
        <v>7</v>
      </c>
      <c r="DP30">
        <v>135.45522388059999</v>
      </c>
      <c r="DQ30">
        <v>154.8571428571</v>
      </c>
    </row>
    <row r="31" spans="2:121" x14ac:dyDescent="0.2">
      <c r="B31" t="s">
        <v>91</v>
      </c>
      <c r="C31">
        <v>423</v>
      </c>
      <c r="D31">
        <v>28</v>
      </c>
      <c r="F31" t="s">
        <v>74</v>
      </c>
      <c r="G31">
        <v>306</v>
      </c>
      <c r="H31">
        <v>86.885620915000004</v>
      </c>
      <c r="I31">
        <v>1318</v>
      </c>
      <c r="J31">
        <v>240</v>
      </c>
      <c r="K31">
        <v>1119</v>
      </c>
      <c r="L31">
        <v>61</v>
      </c>
      <c r="M31">
        <v>376</v>
      </c>
      <c r="N31">
        <v>106</v>
      </c>
      <c r="O31">
        <v>33</v>
      </c>
      <c r="P31">
        <v>15</v>
      </c>
      <c r="Q31">
        <v>0</v>
      </c>
      <c r="R31">
        <v>0</v>
      </c>
      <c r="T31" t="s">
        <v>460</v>
      </c>
      <c r="U31">
        <v>233044</v>
      </c>
      <c r="V31">
        <v>369.93664715680001</v>
      </c>
      <c r="W31">
        <v>341960</v>
      </c>
      <c r="X31">
        <v>72424</v>
      </c>
      <c r="Y31">
        <v>445856</v>
      </c>
      <c r="Z31">
        <v>219512</v>
      </c>
      <c r="AA31">
        <v>129438</v>
      </c>
      <c r="AB31">
        <v>100612</v>
      </c>
      <c r="AC31">
        <v>171360</v>
      </c>
      <c r="AD31">
        <v>117737</v>
      </c>
      <c r="AE31">
        <v>23671</v>
      </c>
      <c r="AF31">
        <v>4512</v>
      </c>
      <c r="AH31" t="s">
        <v>412</v>
      </c>
      <c r="AI31">
        <v>2755</v>
      </c>
      <c r="AJ31">
        <v>435.82214156079999</v>
      </c>
      <c r="AK31">
        <v>4164</v>
      </c>
      <c r="AL31">
        <v>989</v>
      </c>
      <c r="AM31">
        <v>4552</v>
      </c>
      <c r="AN31">
        <v>2629</v>
      </c>
      <c r="AO31">
        <v>1051</v>
      </c>
      <c r="AP31">
        <v>815</v>
      </c>
      <c r="AQ31">
        <v>1957</v>
      </c>
      <c r="AR31">
        <v>1480</v>
      </c>
      <c r="AS31">
        <v>3</v>
      </c>
      <c r="AT31">
        <v>125</v>
      </c>
      <c r="AV31" t="s">
        <v>395</v>
      </c>
      <c r="AW31">
        <v>244</v>
      </c>
      <c r="AX31">
        <v>56.709016393399999</v>
      </c>
      <c r="AY31">
        <v>435</v>
      </c>
      <c r="AZ31">
        <v>51</v>
      </c>
      <c r="BA31">
        <v>370</v>
      </c>
      <c r="BB31">
        <v>28</v>
      </c>
      <c r="BC31">
        <v>1</v>
      </c>
      <c r="BD31">
        <v>1</v>
      </c>
      <c r="BE31">
        <v>39</v>
      </c>
      <c r="BF31">
        <v>8</v>
      </c>
      <c r="BG31">
        <v>60</v>
      </c>
      <c r="BH31">
        <v>36</v>
      </c>
      <c r="BJ31" t="s">
        <v>521</v>
      </c>
      <c r="BK31" t="s">
        <v>368</v>
      </c>
      <c r="BL31">
        <v>1885</v>
      </c>
      <c r="BM31">
        <v>333</v>
      </c>
      <c r="BN31">
        <v>85.565517241400002</v>
      </c>
      <c r="BO31">
        <v>5439</v>
      </c>
      <c r="BP31">
        <v>532</v>
      </c>
      <c r="BQ31">
        <v>115.2610774039</v>
      </c>
      <c r="BR31">
        <v>120.6992481203</v>
      </c>
      <c r="BS31">
        <v>797</v>
      </c>
      <c r="BT31">
        <v>215</v>
      </c>
      <c r="BU31">
        <v>103.8531994981</v>
      </c>
      <c r="BV31">
        <v>7990</v>
      </c>
      <c r="BW31">
        <v>834</v>
      </c>
      <c r="BX31">
        <v>125.8386733417</v>
      </c>
      <c r="BY31">
        <v>118.2482014388</v>
      </c>
      <c r="CA31" t="s">
        <v>422</v>
      </c>
      <c r="CB31" t="s">
        <v>855</v>
      </c>
      <c r="CC31" t="s">
        <v>979</v>
      </c>
      <c r="CD31">
        <v>1033</v>
      </c>
      <c r="CE31">
        <v>224</v>
      </c>
      <c r="CF31">
        <v>97.088092933200002</v>
      </c>
      <c r="CG31">
        <v>2455</v>
      </c>
      <c r="CH31">
        <v>231</v>
      </c>
      <c r="CI31">
        <v>136.85376782079999</v>
      </c>
      <c r="CJ31">
        <v>143.76190476190001</v>
      </c>
      <c r="CL31" t="s">
        <v>422</v>
      </c>
      <c r="CM31" t="s">
        <v>824</v>
      </c>
      <c r="CN31" t="s">
        <v>825</v>
      </c>
      <c r="CO31">
        <v>78</v>
      </c>
      <c r="CP31">
        <v>12</v>
      </c>
      <c r="CQ31">
        <v>71.974358974400005</v>
      </c>
      <c r="CR31">
        <v>251</v>
      </c>
      <c r="CS31">
        <v>31</v>
      </c>
      <c r="CT31">
        <v>100.6653386454</v>
      </c>
      <c r="CU31">
        <v>111.25806451610001</v>
      </c>
      <c r="CW31" t="s">
        <v>422</v>
      </c>
      <c r="CX31" t="s">
        <v>840</v>
      </c>
      <c r="CY31" t="s">
        <v>841</v>
      </c>
      <c r="CZ31">
        <v>11</v>
      </c>
      <c r="DA31">
        <v>1</v>
      </c>
      <c r="DB31">
        <v>54.090909090899999</v>
      </c>
      <c r="DC31">
        <v>41</v>
      </c>
      <c r="DD31">
        <v>10</v>
      </c>
      <c r="DE31">
        <v>155.0243902439</v>
      </c>
      <c r="DF31">
        <v>151.1</v>
      </c>
      <c r="DH31" t="s">
        <v>422</v>
      </c>
      <c r="DI31" t="s">
        <v>808</v>
      </c>
      <c r="DJ31" t="s">
        <v>809</v>
      </c>
      <c r="DK31">
        <v>16</v>
      </c>
      <c r="DL31">
        <v>3</v>
      </c>
      <c r="DM31">
        <v>72.625</v>
      </c>
      <c r="DN31">
        <v>53</v>
      </c>
      <c r="DO31">
        <v>6</v>
      </c>
      <c r="DP31">
        <v>151.86792452829999</v>
      </c>
      <c r="DQ31">
        <v>146</v>
      </c>
    </row>
    <row r="32" spans="2:121" x14ac:dyDescent="0.2">
      <c r="B32" t="s">
        <v>1058</v>
      </c>
      <c r="C32">
        <v>119</v>
      </c>
      <c r="D32">
        <v>108</v>
      </c>
      <c r="F32" t="s">
        <v>72</v>
      </c>
      <c r="G32">
        <v>658</v>
      </c>
      <c r="H32">
        <v>265.42401215810003</v>
      </c>
      <c r="I32">
        <v>1767</v>
      </c>
      <c r="J32">
        <v>584</v>
      </c>
      <c r="K32">
        <v>3442</v>
      </c>
      <c r="L32">
        <v>1002</v>
      </c>
      <c r="M32">
        <v>855</v>
      </c>
      <c r="N32">
        <v>773</v>
      </c>
      <c r="O32">
        <v>780</v>
      </c>
      <c r="P32">
        <v>659</v>
      </c>
      <c r="Q32">
        <v>0</v>
      </c>
      <c r="R32">
        <v>2</v>
      </c>
      <c r="AH32" t="s">
        <v>414</v>
      </c>
      <c r="AI32">
        <v>945</v>
      </c>
      <c r="AJ32">
        <v>264.6772486772</v>
      </c>
      <c r="AK32">
        <v>1277</v>
      </c>
      <c r="AL32">
        <v>208</v>
      </c>
      <c r="AM32">
        <v>1944</v>
      </c>
      <c r="AN32">
        <v>825</v>
      </c>
      <c r="AO32">
        <v>359</v>
      </c>
      <c r="AP32">
        <v>256</v>
      </c>
      <c r="AQ32">
        <v>338</v>
      </c>
      <c r="AR32">
        <v>182</v>
      </c>
      <c r="AS32">
        <v>200</v>
      </c>
      <c r="AT32">
        <v>4</v>
      </c>
      <c r="AV32" t="s">
        <v>421</v>
      </c>
      <c r="AW32">
        <v>143</v>
      </c>
      <c r="AX32">
        <v>73.972027972000006</v>
      </c>
      <c r="AY32">
        <v>193</v>
      </c>
      <c r="AZ32">
        <v>8</v>
      </c>
      <c r="BA32">
        <v>214</v>
      </c>
      <c r="BB32">
        <v>30</v>
      </c>
      <c r="BC32">
        <v>1</v>
      </c>
      <c r="BE32">
        <v>15</v>
      </c>
      <c r="BF32">
        <v>7</v>
      </c>
      <c r="BG32">
        <v>204</v>
      </c>
      <c r="BH32">
        <v>37</v>
      </c>
      <c r="BJ32" t="s">
        <v>536</v>
      </c>
      <c r="BK32" t="s">
        <v>368</v>
      </c>
      <c r="BL32">
        <v>2311</v>
      </c>
      <c r="BM32">
        <v>415</v>
      </c>
      <c r="BN32">
        <v>83.690610125500001</v>
      </c>
      <c r="BO32">
        <v>7723</v>
      </c>
      <c r="BP32">
        <v>919</v>
      </c>
      <c r="BQ32">
        <v>117.05127541109999</v>
      </c>
      <c r="BR32">
        <v>123.6496191513</v>
      </c>
      <c r="BS32">
        <v>2585</v>
      </c>
      <c r="BT32">
        <v>333</v>
      </c>
      <c r="BU32">
        <v>79.917988394600002</v>
      </c>
      <c r="BV32">
        <v>13809</v>
      </c>
      <c r="BW32">
        <v>1431</v>
      </c>
      <c r="BX32">
        <v>127.4449996379</v>
      </c>
      <c r="BY32">
        <v>115.2955974843</v>
      </c>
      <c r="CA32" t="s">
        <v>413</v>
      </c>
      <c r="CB32" t="s">
        <v>855</v>
      </c>
      <c r="CC32" t="s">
        <v>980</v>
      </c>
      <c r="CD32">
        <v>443</v>
      </c>
      <c r="CE32">
        <v>101</v>
      </c>
      <c r="CF32">
        <v>96.623024830700004</v>
      </c>
      <c r="CG32">
        <v>1120</v>
      </c>
      <c r="CH32">
        <v>98</v>
      </c>
      <c r="CI32">
        <v>141.13035714290001</v>
      </c>
      <c r="CJ32">
        <v>168.78571428570001</v>
      </c>
      <c r="CL32" t="s">
        <v>413</v>
      </c>
      <c r="CM32" t="s">
        <v>824</v>
      </c>
      <c r="CN32" t="s">
        <v>826</v>
      </c>
      <c r="CO32">
        <v>48</v>
      </c>
      <c r="CP32">
        <v>7</v>
      </c>
      <c r="CQ32">
        <v>79.229166666699996</v>
      </c>
      <c r="CR32">
        <v>213</v>
      </c>
      <c r="CS32">
        <v>21</v>
      </c>
      <c r="CT32">
        <v>109.661971831</v>
      </c>
      <c r="CU32">
        <v>119.42857142859999</v>
      </c>
      <c r="CW32" t="s">
        <v>413</v>
      </c>
      <c r="CX32" t="s">
        <v>840</v>
      </c>
      <c r="CY32" t="s">
        <v>842</v>
      </c>
      <c r="CZ32">
        <v>7</v>
      </c>
      <c r="DA32">
        <v>0</v>
      </c>
      <c r="DB32">
        <v>54</v>
      </c>
      <c r="DC32">
        <v>39</v>
      </c>
      <c r="DD32">
        <v>6</v>
      </c>
      <c r="DE32">
        <v>152.30769230769999</v>
      </c>
      <c r="DF32">
        <v>114.1666666667</v>
      </c>
      <c r="DH32" t="s">
        <v>413</v>
      </c>
      <c r="DI32" t="s">
        <v>808</v>
      </c>
      <c r="DJ32" t="s">
        <v>810</v>
      </c>
      <c r="DK32">
        <v>11</v>
      </c>
      <c r="DL32">
        <v>0</v>
      </c>
      <c r="DM32">
        <v>44.363636363600001</v>
      </c>
      <c r="DN32">
        <v>55</v>
      </c>
      <c r="DO32">
        <v>7</v>
      </c>
      <c r="DP32">
        <v>130.7636363636</v>
      </c>
      <c r="DQ32">
        <v>91</v>
      </c>
    </row>
    <row r="33" spans="2:121" x14ac:dyDescent="0.2">
      <c r="B33" t="s">
        <v>123</v>
      </c>
      <c r="C33">
        <v>41</v>
      </c>
      <c r="D33">
        <v>29</v>
      </c>
      <c r="F33" t="s">
        <v>40</v>
      </c>
      <c r="G33">
        <v>4844</v>
      </c>
      <c r="H33">
        <v>404.67134599500002</v>
      </c>
      <c r="I33">
        <v>7050</v>
      </c>
      <c r="J33">
        <v>2077</v>
      </c>
      <c r="K33">
        <v>9431</v>
      </c>
      <c r="L33">
        <v>4964</v>
      </c>
      <c r="M33">
        <v>3830</v>
      </c>
      <c r="N33">
        <v>3247</v>
      </c>
      <c r="O33">
        <v>662</v>
      </c>
      <c r="P33">
        <v>480</v>
      </c>
      <c r="Q33">
        <v>0</v>
      </c>
      <c r="R33">
        <v>52</v>
      </c>
      <c r="AH33" t="s">
        <v>373</v>
      </c>
      <c r="AI33">
        <v>1546</v>
      </c>
      <c r="AJ33">
        <v>334.78460543339997</v>
      </c>
      <c r="AK33">
        <v>4540</v>
      </c>
      <c r="AL33">
        <v>1222</v>
      </c>
      <c r="AM33">
        <v>4247</v>
      </c>
      <c r="AN33">
        <v>1600</v>
      </c>
      <c r="AO33">
        <v>1355</v>
      </c>
      <c r="AP33">
        <v>1134</v>
      </c>
      <c r="AQ33">
        <v>2465</v>
      </c>
      <c r="AR33">
        <v>1809</v>
      </c>
      <c r="AS33">
        <v>815</v>
      </c>
      <c r="AT33">
        <v>6</v>
      </c>
      <c r="AV33" t="s">
        <v>370</v>
      </c>
      <c r="AW33">
        <v>397</v>
      </c>
      <c r="AX33">
        <v>102.48614609569999</v>
      </c>
      <c r="AY33">
        <v>563</v>
      </c>
      <c r="AZ33">
        <v>97</v>
      </c>
      <c r="BA33">
        <v>530</v>
      </c>
      <c r="BB33">
        <v>163</v>
      </c>
      <c r="BC33">
        <v>4</v>
      </c>
      <c r="BD33">
        <v>4</v>
      </c>
      <c r="BE33">
        <v>34</v>
      </c>
      <c r="BF33">
        <v>6</v>
      </c>
      <c r="BG33">
        <v>59</v>
      </c>
      <c r="BH33">
        <v>130</v>
      </c>
      <c r="BJ33" t="s">
        <v>621</v>
      </c>
      <c r="BK33" t="s">
        <v>368</v>
      </c>
      <c r="BL33">
        <v>1276</v>
      </c>
      <c r="BM33">
        <v>177</v>
      </c>
      <c r="BN33">
        <v>77.510971786799999</v>
      </c>
      <c r="BO33">
        <v>3287</v>
      </c>
      <c r="BP33">
        <v>355</v>
      </c>
      <c r="BQ33">
        <v>126.8923030119</v>
      </c>
      <c r="BR33">
        <v>120.0309859155</v>
      </c>
      <c r="BS33">
        <v>490</v>
      </c>
      <c r="BT33">
        <v>184</v>
      </c>
      <c r="BU33">
        <v>113.3734693878</v>
      </c>
      <c r="BV33">
        <v>3472</v>
      </c>
      <c r="BW33">
        <v>350</v>
      </c>
      <c r="BX33">
        <v>132.58150921660001</v>
      </c>
      <c r="BY33">
        <v>137.12571428570001</v>
      </c>
      <c r="CA33" t="s">
        <v>415</v>
      </c>
      <c r="CB33" t="s">
        <v>855</v>
      </c>
      <c r="CC33" t="s">
        <v>981</v>
      </c>
      <c r="CD33">
        <v>1229</v>
      </c>
      <c r="CE33">
        <v>168</v>
      </c>
      <c r="CF33">
        <v>73.873067534599997</v>
      </c>
      <c r="CG33">
        <v>4388</v>
      </c>
      <c r="CH33">
        <v>448</v>
      </c>
      <c r="CI33">
        <v>102.8965360073</v>
      </c>
      <c r="CJ33">
        <v>89.026785714300004</v>
      </c>
      <c r="CL33" t="s">
        <v>415</v>
      </c>
      <c r="CM33" t="s">
        <v>824</v>
      </c>
      <c r="CN33" t="s">
        <v>827</v>
      </c>
      <c r="CO33">
        <v>120</v>
      </c>
      <c r="CP33">
        <v>11</v>
      </c>
      <c r="CQ33">
        <v>64.333333333300004</v>
      </c>
      <c r="CR33">
        <v>473</v>
      </c>
      <c r="CS33">
        <v>53</v>
      </c>
      <c r="CT33">
        <v>87.659619450299999</v>
      </c>
      <c r="CU33">
        <v>88.622641509399998</v>
      </c>
      <c r="CW33" t="s">
        <v>415</v>
      </c>
      <c r="CX33" t="s">
        <v>840</v>
      </c>
      <c r="CY33" t="s">
        <v>843</v>
      </c>
      <c r="CZ33">
        <v>10</v>
      </c>
      <c r="DA33">
        <v>2</v>
      </c>
      <c r="DB33">
        <v>93.7</v>
      </c>
      <c r="DC33">
        <v>50</v>
      </c>
      <c r="DD33">
        <v>4</v>
      </c>
      <c r="DE33">
        <v>144.72</v>
      </c>
      <c r="DF33">
        <v>122.5</v>
      </c>
      <c r="DH33" t="s">
        <v>415</v>
      </c>
      <c r="DI33" t="s">
        <v>808</v>
      </c>
      <c r="DJ33" t="s">
        <v>811</v>
      </c>
      <c r="DK33">
        <v>12</v>
      </c>
      <c r="DL33">
        <v>0</v>
      </c>
      <c r="DM33">
        <v>39</v>
      </c>
      <c r="DN33">
        <v>52</v>
      </c>
      <c r="DO33">
        <v>3</v>
      </c>
      <c r="DP33">
        <v>132.05769230769999</v>
      </c>
      <c r="DQ33">
        <v>36</v>
      </c>
    </row>
    <row r="34" spans="2:121" x14ac:dyDescent="0.2">
      <c r="B34" t="s">
        <v>108</v>
      </c>
      <c r="C34">
        <v>477</v>
      </c>
      <c r="D34">
        <v>387</v>
      </c>
      <c r="F34" t="s">
        <v>50</v>
      </c>
      <c r="G34">
        <v>1513</v>
      </c>
      <c r="H34">
        <v>125.1295439524</v>
      </c>
      <c r="I34">
        <v>1863</v>
      </c>
      <c r="J34">
        <v>219</v>
      </c>
      <c r="K34">
        <v>3276</v>
      </c>
      <c r="L34">
        <v>846</v>
      </c>
      <c r="M34">
        <v>720</v>
      </c>
      <c r="N34">
        <v>458</v>
      </c>
      <c r="O34">
        <v>567</v>
      </c>
      <c r="P34">
        <v>381</v>
      </c>
      <c r="Q34">
        <v>1</v>
      </c>
      <c r="R34">
        <v>17</v>
      </c>
      <c r="AH34" t="s">
        <v>404</v>
      </c>
      <c r="AI34">
        <v>764</v>
      </c>
      <c r="AJ34">
        <v>255.8115183246</v>
      </c>
      <c r="AK34">
        <v>2763</v>
      </c>
      <c r="AL34">
        <v>618</v>
      </c>
      <c r="AM34">
        <v>1977</v>
      </c>
      <c r="AN34">
        <v>670</v>
      </c>
      <c r="AO34">
        <v>531</v>
      </c>
      <c r="AP34">
        <v>323</v>
      </c>
      <c r="AQ34">
        <v>990</v>
      </c>
      <c r="AR34">
        <v>588</v>
      </c>
      <c r="AS34">
        <v>6</v>
      </c>
      <c r="AT34">
        <v>11</v>
      </c>
      <c r="AV34" t="s">
        <v>413</v>
      </c>
      <c r="AW34">
        <v>39</v>
      </c>
      <c r="AX34">
        <v>79.102564102599999</v>
      </c>
      <c r="AY34">
        <v>42</v>
      </c>
      <c r="AZ34">
        <v>7</v>
      </c>
      <c r="BA34">
        <v>54</v>
      </c>
      <c r="BB34">
        <v>12</v>
      </c>
      <c r="BC34">
        <v>2</v>
      </c>
      <c r="BD34">
        <v>2</v>
      </c>
      <c r="BE34">
        <v>3</v>
      </c>
      <c r="BF34">
        <v>1</v>
      </c>
      <c r="BG34">
        <v>8</v>
      </c>
      <c r="BH34">
        <v>14</v>
      </c>
      <c r="BJ34" t="s">
        <v>517</v>
      </c>
      <c r="BK34" t="s">
        <v>368</v>
      </c>
      <c r="BL34">
        <v>4973</v>
      </c>
      <c r="BM34">
        <v>1432</v>
      </c>
      <c r="BN34">
        <v>111.003016288</v>
      </c>
      <c r="BO34">
        <v>11791</v>
      </c>
      <c r="BP34">
        <v>1163</v>
      </c>
      <c r="BQ34">
        <v>137.3522177932</v>
      </c>
      <c r="BR34">
        <v>142.43938091140001</v>
      </c>
      <c r="BS34">
        <v>1479</v>
      </c>
      <c r="BT34">
        <v>480</v>
      </c>
      <c r="BU34">
        <v>117.939148073</v>
      </c>
      <c r="BV34">
        <v>9348</v>
      </c>
      <c r="BW34">
        <v>689</v>
      </c>
      <c r="BX34">
        <v>133.18068035939999</v>
      </c>
      <c r="BY34">
        <v>158.70101596520001</v>
      </c>
      <c r="CA34" t="s">
        <v>375</v>
      </c>
      <c r="CB34" t="s">
        <v>855</v>
      </c>
      <c r="CC34" t="s">
        <v>982</v>
      </c>
      <c r="CD34">
        <v>6146</v>
      </c>
      <c r="CE34">
        <v>1379</v>
      </c>
      <c r="CF34">
        <v>96.404165310799996</v>
      </c>
      <c r="CG34">
        <v>14908</v>
      </c>
      <c r="CH34">
        <v>1694</v>
      </c>
      <c r="CI34">
        <v>136.76636705120001</v>
      </c>
      <c r="CJ34">
        <v>140.09386068480001</v>
      </c>
      <c r="CL34" t="s">
        <v>375</v>
      </c>
      <c r="CM34" t="s">
        <v>824</v>
      </c>
      <c r="CN34" t="s">
        <v>828</v>
      </c>
      <c r="CO34">
        <v>495</v>
      </c>
      <c r="CP34">
        <v>73</v>
      </c>
      <c r="CQ34">
        <v>72.664646464599997</v>
      </c>
      <c r="CR34">
        <v>1629</v>
      </c>
      <c r="CS34">
        <v>236</v>
      </c>
      <c r="CT34">
        <v>100.9140577041</v>
      </c>
      <c r="CU34">
        <v>98.216101694900004</v>
      </c>
      <c r="CW34" t="s">
        <v>375</v>
      </c>
      <c r="CX34" t="s">
        <v>840</v>
      </c>
      <c r="CY34" t="s">
        <v>844</v>
      </c>
      <c r="CZ34">
        <v>147</v>
      </c>
      <c r="DA34">
        <v>20</v>
      </c>
      <c r="DB34">
        <v>77.986394557799997</v>
      </c>
      <c r="DC34">
        <v>505</v>
      </c>
      <c r="DD34">
        <v>44</v>
      </c>
      <c r="DE34">
        <v>145.64356435639999</v>
      </c>
      <c r="DF34">
        <v>111.4772727273</v>
      </c>
      <c r="DH34" t="s">
        <v>375</v>
      </c>
      <c r="DI34" t="s">
        <v>808</v>
      </c>
      <c r="DJ34" t="s">
        <v>812</v>
      </c>
      <c r="DK34">
        <v>171</v>
      </c>
      <c r="DL34">
        <v>16</v>
      </c>
      <c r="DM34">
        <v>70.906432748499995</v>
      </c>
      <c r="DN34">
        <v>705</v>
      </c>
      <c r="DO34">
        <v>68</v>
      </c>
      <c r="DP34">
        <v>142.6666666667</v>
      </c>
      <c r="DQ34">
        <v>122.0294117647</v>
      </c>
    </row>
    <row r="35" spans="2:121" x14ac:dyDescent="0.2">
      <c r="B35" t="s">
        <v>115</v>
      </c>
      <c r="C35">
        <v>5892</v>
      </c>
      <c r="D35">
        <v>1610</v>
      </c>
      <c r="F35" t="s">
        <v>37</v>
      </c>
      <c r="G35">
        <v>4409</v>
      </c>
      <c r="H35">
        <v>492.97799954639999</v>
      </c>
      <c r="I35">
        <v>6510</v>
      </c>
      <c r="J35">
        <v>1694</v>
      </c>
      <c r="K35">
        <v>7690</v>
      </c>
      <c r="L35">
        <v>4460</v>
      </c>
      <c r="M35">
        <v>1743</v>
      </c>
      <c r="N35">
        <v>1630</v>
      </c>
      <c r="O35">
        <v>1513</v>
      </c>
      <c r="P35">
        <v>941</v>
      </c>
      <c r="Q35">
        <v>0</v>
      </c>
      <c r="R35">
        <v>218</v>
      </c>
      <c r="AH35" t="s">
        <v>60</v>
      </c>
      <c r="AI35">
        <v>3436</v>
      </c>
      <c r="AJ35">
        <v>288.7232246799</v>
      </c>
      <c r="AK35">
        <v>9197</v>
      </c>
      <c r="AL35">
        <v>2215</v>
      </c>
      <c r="AM35">
        <v>9422</v>
      </c>
      <c r="AN35">
        <v>3641</v>
      </c>
      <c r="AO35">
        <v>3257</v>
      </c>
      <c r="AP35">
        <v>2587</v>
      </c>
      <c r="AQ35">
        <v>6084</v>
      </c>
      <c r="AR35">
        <v>4199</v>
      </c>
      <c r="AS35">
        <v>1718</v>
      </c>
      <c r="AT35">
        <v>11</v>
      </c>
      <c r="AV35" t="s">
        <v>396</v>
      </c>
      <c r="AW35">
        <v>446</v>
      </c>
      <c r="AX35">
        <v>68.345291479799997</v>
      </c>
      <c r="AY35">
        <v>715</v>
      </c>
      <c r="AZ35">
        <v>88</v>
      </c>
      <c r="BA35">
        <v>668</v>
      </c>
      <c r="BB35">
        <v>51</v>
      </c>
      <c r="BC35">
        <v>3</v>
      </c>
      <c r="BD35">
        <v>3</v>
      </c>
      <c r="BE35">
        <v>48</v>
      </c>
      <c r="BF35">
        <v>14</v>
      </c>
      <c r="BG35">
        <v>119</v>
      </c>
      <c r="BH35">
        <v>63</v>
      </c>
      <c r="BJ35" t="s">
        <v>523</v>
      </c>
      <c r="BK35" t="s">
        <v>368</v>
      </c>
      <c r="BL35">
        <v>2874</v>
      </c>
      <c r="BM35">
        <v>706</v>
      </c>
      <c r="BN35">
        <v>96.272094641600006</v>
      </c>
      <c r="BO35">
        <v>6613</v>
      </c>
      <c r="BP35">
        <v>643</v>
      </c>
      <c r="BQ35">
        <v>137.7149553909</v>
      </c>
      <c r="BR35">
        <v>144.701399689</v>
      </c>
      <c r="BS35">
        <v>866</v>
      </c>
      <c r="BT35">
        <v>340</v>
      </c>
      <c r="BU35">
        <v>119.3221709007</v>
      </c>
      <c r="BV35">
        <v>4376</v>
      </c>
      <c r="BW35">
        <v>306</v>
      </c>
      <c r="BX35">
        <v>143.59255027419999</v>
      </c>
      <c r="BY35">
        <v>178.408496732</v>
      </c>
      <c r="CA35" t="s">
        <v>370</v>
      </c>
      <c r="CB35" t="s">
        <v>855</v>
      </c>
      <c r="CC35" t="s">
        <v>983</v>
      </c>
      <c r="CD35">
        <v>4348</v>
      </c>
      <c r="CE35">
        <v>830</v>
      </c>
      <c r="CF35">
        <v>86.071987120499998</v>
      </c>
      <c r="CG35">
        <v>11711</v>
      </c>
      <c r="CH35">
        <v>1030</v>
      </c>
      <c r="CI35">
        <v>126.7092477158</v>
      </c>
      <c r="CJ35">
        <v>118.5660194175</v>
      </c>
      <c r="CL35" t="s">
        <v>370</v>
      </c>
      <c r="CM35" t="s">
        <v>824</v>
      </c>
      <c r="CN35" t="s">
        <v>829</v>
      </c>
      <c r="CO35">
        <v>449</v>
      </c>
      <c r="CP35">
        <v>59</v>
      </c>
      <c r="CQ35">
        <v>70.779510022300002</v>
      </c>
      <c r="CR35">
        <v>1551</v>
      </c>
      <c r="CS35">
        <v>173</v>
      </c>
      <c r="CT35">
        <v>93.978078658900003</v>
      </c>
      <c r="CU35">
        <v>108.8843930636</v>
      </c>
      <c r="CW35" t="s">
        <v>370</v>
      </c>
      <c r="CX35" t="s">
        <v>840</v>
      </c>
      <c r="CY35" t="s">
        <v>845</v>
      </c>
      <c r="CZ35">
        <v>70</v>
      </c>
      <c r="DA35">
        <v>5</v>
      </c>
      <c r="DB35">
        <v>60.971428571399997</v>
      </c>
      <c r="DC35">
        <v>193</v>
      </c>
      <c r="DD35">
        <v>19</v>
      </c>
      <c r="DE35">
        <v>137.22279792750001</v>
      </c>
      <c r="DF35">
        <v>91.368421052599999</v>
      </c>
      <c r="DH35" t="s">
        <v>370</v>
      </c>
      <c r="DI35" t="s">
        <v>808</v>
      </c>
      <c r="DJ35" t="s">
        <v>813</v>
      </c>
      <c r="DK35">
        <v>49</v>
      </c>
      <c r="DL35">
        <v>1</v>
      </c>
      <c r="DM35">
        <v>55.938775510200003</v>
      </c>
      <c r="DN35">
        <v>118</v>
      </c>
      <c r="DO35">
        <v>12</v>
      </c>
      <c r="DP35">
        <v>124.2966101695</v>
      </c>
      <c r="DQ35">
        <v>78.583333333300004</v>
      </c>
    </row>
    <row r="36" spans="2:121" x14ac:dyDescent="0.2">
      <c r="B36" t="s">
        <v>116</v>
      </c>
      <c r="C36">
        <v>14881</v>
      </c>
      <c r="D36">
        <v>4710</v>
      </c>
      <c r="F36" t="s">
        <v>71</v>
      </c>
      <c r="G36">
        <v>4865</v>
      </c>
      <c r="H36">
        <v>340.62816032889998</v>
      </c>
      <c r="I36">
        <v>12047</v>
      </c>
      <c r="J36">
        <v>1984</v>
      </c>
      <c r="K36">
        <v>18231</v>
      </c>
      <c r="L36">
        <v>8473</v>
      </c>
      <c r="M36">
        <v>6588</v>
      </c>
      <c r="N36">
        <v>4545</v>
      </c>
      <c r="O36">
        <v>2312</v>
      </c>
      <c r="P36">
        <v>1623</v>
      </c>
      <c r="Q36">
        <v>0</v>
      </c>
      <c r="R36">
        <v>61</v>
      </c>
      <c r="T36" t="s">
        <v>645</v>
      </c>
      <c r="U36" t="s">
        <v>306</v>
      </c>
      <c r="V36" t="s">
        <v>133</v>
      </c>
      <c r="W36" t="s">
        <v>214</v>
      </c>
      <c r="X36" t="s">
        <v>458</v>
      </c>
      <c r="Y36" t="s">
        <v>216</v>
      </c>
      <c r="Z36" t="s">
        <v>217</v>
      </c>
      <c r="AA36" t="s">
        <v>218</v>
      </c>
      <c r="AB36" t="s">
        <v>459</v>
      </c>
      <c r="AC36" t="s">
        <v>220</v>
      </c>
      <c r="AD36" t="s">
        <v>221</v>
      </c>
      <c r="AE36" t="s">
        <v>222</v>
      </c>
      <c r="AF36" t="s">
        <v>223</v>
      </c>
      <c r="AH36" t="s">
        <v>381</v>
      </c>
      <c r="AI36">
        <v>13414</v>
      </c>
      <c r="AJ36">
        <v>352.65819293279998</v>
      </c>
      <c r="AK36">
        <v>17550</v>
      </c>
      <c r="AL36">
        <v>4048</v>
      </c>
      <c r="AM36">
        <v>20600</v>
      </c>
      <c r="AN36">
        <v>11842</v>
      </c>
      <c r="AO36">
        <v>8925</v>
      </c>
      <c r="AP36">
        <v>7143</v>
      </c>
      <c r="AQ36">
        <v>7570</v>
      </c>
      <c r="AR36">
        <v>5189</v>
      </c>
      <c r="AS36">
        <v>1259</v>
      </c>
      <c r="AT36">
        <v>44</v>
      </c>
      <c r="AV36" t="s">
        <v>424</v>
      </c>
      <c r="AW36">
        <v>2701</v>
      </c>
      <c r="AX36">
        <v>98.320621991899998</v>
      </c>
      <c r="AY36">
        <v>3404</v>
      </c>
      <c r="AZ36">
        <v>567</v>
      </c>
      <c r="BA36">
        <v>3570</v>
      </c>
      <c r="BB36">
        <v>1141</v>
      </c>
      <c r="BC36">
        <v>17</v>
      </c>
      <c r="BD36">
        <v>15</v>
      </c>
      <c r="BE36">
        <v>135</v>
      </c>
      <c r="BF36">
        <v>43</v>
      </c>
      <c r="BG36">
        <v>462</v>
      </c>
      <c r="BH36">
        <v>587</v>
      </c>
      <c r="BJ36" t="s">
        <v>368</v>
      </c>
      <c r="BK36" t="s">
        <v>368</v>
      </c>
      <c r="BL36">
        <v>74116</v>
      </c>
      <c r="BM36">
        <v>16833</v>
      </c>
      <c r="BN36">
        <v>95.267985320299999</v>
      </c>
      <c r="BO36">
        <v>194172</v>
      </c>
      <c r="BP36">
        <v>19596</v>
      </c>
      <c r="BQ36">
        <v>130.66151144349999</v>
      </c>
      <c r="BR36">
        <v>129.36339048790001</v>
      </c>
      <c r="BS36">
        <v>25816</v>
      </c>
      <c r="BT36">
        <v>6897</v>
      </c>
      <c r="BU36">
        <v>101.9677719244</v>
      </c>
      <c r="BV36">
        <v>185957</v>
      </c>
      <c r="BW36">
        <v>17823</v>
      </c>
      <c r="BX36">
        <v>129.80200261350001</v>
      </c>
      <c r="BY36">
        <v>129.6474779779</v>
      </c>
      <c r="CA36" t="s">
        <v>414</v>
      </c>
      <c r="CB36" t="s">
        <v>855</v>
      </c>
      <c r="CC36" t="s">
        <v>984</v>
      </c>
      <c r="CD36">
        <v>1293</v>
      </c>
      <c r="CE36">
        <v>195</v>
      </c>
      <c r="CF36">
        <v>78.356535189499994</v>
      </c>
      <c r="CG36">
        <v>3517</v>
      </c>
      <c r="CH36">
        <v>388</v>
      </c>
      <c r="CI36">
        <v>125.87034404320001</v>
      </c>
      <c r="CJ36">
        <v>116.20618556700001</v>
      </c>
      <c r="CL36" t="s">
        <v>414</v>
      </c>
      <c r="CM36" t="s">
        <v>824</v>
      </c>
      <c r="CN36" t="s">
        <v>830</v>
      </c>
      <c r="CO36">
        <v>115</v>
      </c>
      <c r="CP36">
        <v>17</v>
      </c>
      <c r="CQ36">
        <v>69.634782608699993</v>
      </c>
      <c r="CR36">
        <v>386</v>
      </c>
      <c r="CS36">
        <v>53</v>
      </c>
      <c r="CT36">
        <v>93.492227979299997</v>
      </c>
      <c r="CU36">
        <v>85.226415094299995</v>
      </c>
      <c r="CW36" t="s">
        <v>414</v>
      </c>
      <c r="CX36" t="s">
        <v>840</v>
      </c>
      <c r="CY36" t="s">
        <v>846</v>
      </c>
      <c r="CZ36">
        <v>21</v>
      </c>
      <c r="DA36">
        <v>2</v>
      </c>
      <c r="DB36">
        <v>69.428571428599994</v>
      </c>
      <c r="DC36">
        <v>52</v>
      </c>
      <c r="DD36">
        <v>6</v>
      </c>
      <c r="DE36">
        <v>144.23076923080001</v>
      </c>
      <c r="DF36">
        <v>93</v>
      </c>
      <c r="DH36" t="s">
        <v>414</v>
      </c>
      <c r="DI36" t="s">
        <v>808</v>
      </c>
      <c r="DJ36" t="s">
        <v>814</v>
      </c>
      <c r="DK36">
        <v>6</v>
      </c>
      <c r="DL36">
        <v>1</v>
      </c>
      <c r="DM36">
        <v>52</v>
      </c>
      <c r="DN36">
        <v>50</v>
      </c>
      <c r="DO36">
        <v>3</v>
      </c>
      <c r="DP36">
        <v>138.36000000000001</v>
      </c>
      <c r="DQ36">
        <v>226.6666666667</v>
      </c>
    </row>
    <row r="37" spans="2:121" x14ac:dyDescent="0.2">
      <c r="B37" t="s">
        <v>21</v>
      </c>
      <c r="C37">
        <v>34299</v>
      </c>
      <c r="D37">
        <v>9492</v>
      </c>
      <c r="F37" t="s">
        <v>8</v>
      </c>
      <c r="G37">
        <v>85</v>
      </c>
      <c r="H37">
        <v>377.67058823529999</v>
      </c>
      <c r="I37">
        <v>109</v>
      </c>
      <c r="J37">
        <v>93</v>
      </c>
      <c r="K37">
        <v>240</v>
      </c>
      <c r="L37">
        <v>98</v>
      </c>
      <c r="M37">
        <v>93</v>
      </c>
      <c r="N37">
        <v>46</v>
      </c>
      <c r="O37">
        <v>65295</v>
      </c>
      <c r="P37">
        <v>39554</v>
      </c>
      <c r="Q37">
        <v>0</v>
      </c>
      <c r="R37">
        <v>1</v>
      </c>
      <c r="T37" t="s">
        <v>389</v>
      </c>
      <c r="U37">
        <v>3238</v>
      </c>
      <c r="V37">
        <v>63.966337245200002</v>
      </c>
      <c r="W37">
        <v>5593</v>
      </c>
      <c r="X37">
        <v>587</v>
      </c>
      <c r="Y37">
        <v>5074</v>
      </c>
      <c r="Z37">
        <v>458</v>
      </c>
      <c r="AA37">
        <v>11</v>
      </c>
      <c r="AB37">
        <v>10</v>
      </c>
      <c r="AC37">
        <v>381</v>
      </c>
      <c r="AD37">
        <v>101</v>
      </c>
      <c r="AE37">
        <v>2422</v>
      </c>
      <c r="AF37">
        <v>761</v>
      </c>
      <c r="AH37" t="s">
        <v>418</v>
      </c>
      <c r="AI37">
        <v>220</v>
      </c>
      <c r="AJ37">
        <v>167.91363636360001</v>
      </c>
      <c r="AK37">
        <v>594</v>
      </c>
      <c r="AL37">
        <v>87</v>
      </c>
      <c r="AM37">
        <v>843</v>
      </c>
      <c r="AN37">
        <v>105</v>
      </c>
      <c r="AO37">
        <v>152</v>
      </c>
      <c r="AP37">
        <v>73</v>
      </c>
      <c r="AQ37">
        <v>154</v>
      </c>
      <c r="AR37">
        <v>98</v>
      </c>
      <c r="AS37">
        <v>1</v>
      </c>
      <c r="AT37">
        <v>2</v>
      </c>
      <c r="AV37" t="s">
        <v>406</v>
      </c>
      <c r="AW37">
        <v>1093</v>
      </c>
      <c r="AX37">
        <v>66.052150045700003</v>
      </c>
      <c r="AY37">
        <v>1712</v>
      </c>
      <c r="AZ37">
        <v>76</v>
      </c>
      <c r="BA37">
        <v>1969</v>
      </c>
      <c r="BB37">
        <v>224</v>
      </c>
      <c r="BC37">
        <v>10</v>
      </c>
      <c r="BD37">
        <v>9</v>
      </c>
      <c r="BE37">
        <v>101</v>
      </c>
      <c r="BF37">
        <v>45</v>
      </c>
      <c r="BG37">
        <v>1683</v>
      </c>
      <c r="BH37">
        <v>482</v>
      </c>
      <c r="BJ37" t="s">
        <v>525</v>
      </c>
      <c r="BK37" t="s">
        <v>368</v>
      </c>
      <c r="BL37">
        <v>8528</v>
      </c>
      <c r="BM37">
        <v>2636</v>
      </c>
      <c r="BN37">
        <v>119.3870778612</v>
      </c>
      <c r="BO37">
        <v>19178</v>
      </c>
      <c r="BP37">
        <v>1779</v>
      </c>
      <c r="BQ37">
        <v>148.6676400042</v>
      </c>
      <c r="BR37">
        <v>150.50702641929999</v>
      </c>
      <c r="BS37">
        <v>3080</v>
      </c>
      <c r="BT37">
        <v>1084</v>
      </c>
      <c r="BU37">
        <v>125.737012987</v>
      </c>
      <c r="BV37">
        <v>19664</v>
      </c>
      <c r="BW37">
        <v>1960</v>
      </c>
      <c r="BX37">
        <v>145.5348860862</v>
      </c>
      <c r="BY37">
        <v>140.11989795919999</v>
      </c>
      <c r="CA37" t="s">
        <v>373</v>
      </c>
      <c r="CB37" t="s">
        <v>855</v>
      </c>
      <c r="CC37" t="s">
        <v>985</v>
      </c>
      <c r="CD37">
        <v>4431</v>
      </c>
      <c r="CE37">
        <v>1220</v>
      </c>
      <c r="CF37">
        <v>106.2329045362</v>
      </c>
      <c r="CG37">
        <v>10181</v>
      </c>
      <c r="CH37">
        <v>952</v>
      </c>
      <c r="CI37">
        <v>138.47235045670001</v>
      </c>
      <c r="CJ37">
        <v>148.10504201680001</v>
      </c>
      <c r="CL37" t="s">
        <v>373</v>
      </c>
      <c r="CM37" t="s">
        <v>824</v>
      </c>
      <c r="CN37" t="s">
        <v>831</v>
      </c>
      <c r="CO37">
        <v>504</v>
      </c>
      <c r="CP37">
        <v>65</v>
      </c>
      <c r="CQ37">
        <v>70.853174603200003</v>
      </c>
      <c r="CR37">
        <v>1697</v>
      </c>
      <c r="CS37">
        <v>225</v>
      </c>
      <c r="CT37">
        <v>97.038892162600007</v>
      </c>
      <c r="CU37">
        <v>100.0977777778</v>
      </c>
      <c r="CW37" t="s">
        <v>373</v>
      </c>
      <c r="CX37" t="s">
        <v>840</v>
      </c>
      <c r="CY37" t="s">
        <v>847</v>
      </c>
      <c r="CZ37">
        <v>88</v>
      </c>
      <c r="DA37">
        <v>12</v>
      </c>
      <c r="DB37">
        <v>65.102272727300004</v>
      </c>
      <c r="DC37">
        <v>229</v>
      </c>
      <c r="DD37">
        <v>27</v>
      </c>
      <c r="DE37">
        <v>145.1877729258</v>
      </c>
      <c r="DF37">
        <v>122.3333333333</v>
      </c>
      <c r="DH37" t="s">
        <v>373</v>
      </c>
      <c r="DI37" t="s">
        <v>808</v>
      </c>
      <c r="DJ37" t="s">
        <v>815</v>
      </c>
      <c r="DK37">
        <v>67</v>
      </c>
      <c r="DL37">
        <v>8</v>
      </c>
      <c r="DM37">
        <v>64.865671641800006</v>
      </c>
      <c r="DN37">
        <v>175</v>
      </c>
      <c r="DO37">
        <v>17</v>
      </c>
      <c r="DP37">
        <v>136.90285714289999</v>
      </c>
      <c r="DQ37">
        <v>135.8823529412</v>
      </c>
    </row>
    <row r="38" spans="2:121" x14ac:dyDescent="0.2">
      <c r="B38" t="s">
        <v>109</v>
      </c>
      <c r="C38">
        <v>17450</v>
      </c>
      <c r="D38">
        <v>14317</v>
      </c>
      <c r="F38" t="s">
        <v>43</v>
      </c>
      <c r="G38">
        <v>217</v>
      </c>
      <c r="H38">
        <v>95.571428571400006</v>
      </c>
      <c r="I38">
        <v>1050</v>
      </c>
      <c r="J38">
        <v>134</v>
      </c>
      <c r="K38">
        <v>992</v>
      </c>
      <c r="L38">
        <v>32</v>
      </c>
      <c r="M38">
        <v>155</v>
      </c>
      <c r="N38">
        <v>64</v>
      </c>
      <c r="O38">
        <v>69</v>
      </c>
      <c r="P38">
        <v>43</v>
      </c>
      <c r="Q38">
        <v>0</v>
      </c>
      <c r="R38">
        <v>0</v>
      </c>
      <c r="T38" t="s">
        <v>379</v>
      </c>
      <c r="U38">
        <v>7858</v>
      </c>
      <c r="V38">
        <v>100.20959531690001</v>
      </c>
      <c r="W38">
        <v>8612</v>
      </c>
      <c r="X38">
        <v>1337</v>
      </c>
      <c r="Y38">
        <v>10357</v>
      </c>
      <c r="Z38">
        <v>3293</v>
      </c>
      <c r="AA38">
        <v>27</v>
      </c>
      <c r="AB38">
        <v>24</v>
      </c>
      <c r="AC38">
        <v>446</v>
      </c>
      <c r="AD38">
        <v>129</v>
      </c>
      <c r="AE38">
        <v>1302</v>
      </c>
      <c r="AF38">
        <v>1554</v>
      </c>
      <c r="AH38" t="s">
        <v>390</v>
      </c>
      <c r="AI38">
        <v>4670</v>
      </c>
      <c r="AJ38">
        <v>519.58501070659997</v>
      </c>
      <c r="AK38">
        <v>8383</v>
      </c>
      <c r="AL38">
        <v>1592</v>
      </c>
      <c r="AM38">
        <v>9869</v>
      </c>
      <c r="AN38">
        <v>4615</v>
      </c>
      <c r="AO38">
        <v>3014</v>
      </c>
      <c r="AP38">
        <v>2688</v>
      </c>
      <c r="AQ38">
        <v>4328</v>
      </c>
      <c r="AR38">
        <v>3123</v>
      </c>
      <c r="AS38">
        <v>1168</v>
      </c>
      <c r="AT38">
        <v>339</v>
      </c>
      <c r="AV38" t="s">
        <v>80</v>
      </c>
      <c r="AW38">
        <v>194</v>
      </c>
      <c r="AX38">
        <v>64.237113402099993</v>
      </c>
      <c r="AY38">
        <v>346</v>
      </c>
      <c r="AZ38">
        <v>15</v>
      </c>
      <c r="BA38">
        <v>417</v>
      </c>
      <c r="BB38">
        <v>66</v>
      </c>
      <c r="BC38">
        <v>0</v>
      </c>
      <c r="BE38">
        <v>26</v>
      </c>
      <c r="BF38">
        <v>8</v>
      </c>
      <c r="BG38">
        <v>521</v>
      </c>
      <c r="BH38">
        <v>123</v>
      </c>
      <c r="BJ38" t="s">
        <v>528</v>
      </c>
      <c r="BK38" t="s">
        <v>368</v>
      </c>
      <c r="BL38">
        <v>4676</v>
      </c>
      <c r="BM38">
        <v>1474</v>
      </c>
      <c r="BN38">
        <v>114.5915312233</v>
      </c>
      <c r="BO38">
        <v>10912</v>
      </c>
      <c r="BP38">
        <v>1196</v>
      </c>
      <c r="BQ38">
        <v>157.51457111440001</v>
      </c>
      <c r="BR38">
        <v>159.1864548495</v>
      </c>
      <c r="BS38">
        <v>937</v>
      </c>
      <c r="BT38">
        <v>451</v>
      </c>
      <c r="BU38">
        <v>138.16862326570001</v>
      </c>
      <c r="BV38">
        <v>9227</v>
      </c>
      <c r="BW38">
        <v>873</v>
      </c>
      <c r="BX38">
        <v>173.62523030240001</v>
      </c>
      <c r="BY38">
        <v>201.1374570447</v>
      </c>
      <c r="CA38" t="s">
        <v>60</v>
      </c>
      <c r="CB38" t="s">
        <v>855</v>
      </c>
      <c r="CC38" t="s">
        <v>517</v>
      </c>
      <c r="CD38">
        <v>9060</v>
      </c>
      <c r="CE38">
        <v>2163</v>
      </c>
      <c r="CF38">
        <v>98.703532008799996</v>
      </c>
      <c r="CG38">
        <v>23375</v>
      </c>
      <c r="CH38">
        <v>2264</v>
      </c>
      <c r="CI38">
        <v>129.69368983960001</v>
      </c>
      <c r="CJ38">
        <v>128.17446996469999</v>
      </c>
      <c r="CL38" t="s">
        <v>60</v>
      </c>
      <c r="CM38" t="s">
        <v>824</v>
      </c>
      <c r="CN38" t="s">
        <v>832</v>
      </c>
      <c r="CO38">
        <v>1177</v>
      </c>
      <c r="CP38">
        <v>159</v>
      </c>
      <c r="CQ38">
        <v>70.820730671199996</v>
      </c>
      <c r="CR38">
        <v>4338</v>
      </c>
      <c r="CS38">
        <v>610</v>
      </c>
      <c r="CT38">
        <v>99.284232365099996</v>
      </c>
      <c r="CU38">
        <v>101.9180327869</v>
      </c>
      <c r="CW38" t="s">
        <v>60</v>
      </c>
      <c r="CX38" t="s">
        <v>840</v>
      </c>
      <c r="CY38" t="s">
        <v>848</v>
      </c>
      <c r="CZ38">
        <v>203</v>
      </c>
      <c r="DA38">
        <v>17</v>
      </c>
      <c r="DB38">
        <v>63.8965517241</v>
      </c>
      <c r="DC38">
        <v>515</v>
      </c>
      <c r="DD38">
        <v>60</v>
      </c>
      <c r="DE38">
        <v>138.2368932039</v>
      </c>
      <c r="DF38">
        <v>113.4333333333</v>
      </c>
      <c r="DH38" t="s">
        <v>60</v>
      </c>
      <c r="DI38" t="s">
        <v>808</v>
      </c>
      <c r="DJ38" t="s">
        <v>816</v>
      </c>
      <c r="DK38">
        <v>123</v>
      </c>
      <c r="DL38">
        <v>14</v>
      </c>
      <c r="DM38">
        <v>65.593495935000007</v>
      </c>
      <c r="DN38">
        <v>373</v>
      </c>
      <c r="DO38">
        <v>37</v>
      </c>
      <c r="DP38">
        <v>130.44504021450001</v>
      </c>
      <c r="DQ38">
        <v>113.8918918919</v>
      </c>
    </row>
    <row r="39" spans="2:121" x14ac:dyDescent="0.2">
      <c r="B39" t="s">
        <v>110</v>
      </c>
      <c r="C39">
        <v>952</v>
      </c>
      <c r="D39">
        <v>334</v>
      </c>
      <c r="F39" t="s">
        <v>62</v>
      </c>
      <c r="G39">
        <v>7130</v>
      </c>
      <c r="H39">
        <v>455.08765778399999</v>
      </c>
      <c r="I39">
        <v>11360</v>
      </c>
      <c r="J39">
        <v>2772</v>
      </c>
      <c r="K39">
        <v>12869</v>
      </c>
      <c r="L39">
        <v>8067</v>
      </c>
      <c r="M39">
        <v>3765</v>
      </c>
      <c r="N39">
        <v>3435</v>
      </c>
      <c r="O39">
        <v>2652</v>
      </c>
      <c r="P39">
        <v>2118</v>
      </c>
      <c r="Q39">
        <v>0</v>
      </c>
      <c r="R39">
        <v>47</v>
      </c>
      <c r="T39" t="s">
        <v>368</v>
      </c>
      <c r="U39">
        <v>7081</v>
      </c>
      <c r="V39">
        <v>104.0971614179</v>
      </c>
      <c r="W39">
        <v>9645</v>
      </c>
      <c r="X39">
        <v>1700</v>
      </c>
      <c r="Y39">
        <v>9589</v>
      </c>
      <c r="Z39">
        <v>2996</v>
      </c>
      <c r="AA39">
        <v>171</v>
      </c>
      <c r="AB39">
        <v>165</v>
      </c>
      <c r="AC39">
        <v>433</v>
      </c>
      <c r="AD39">
        <v>143</v>
      </c>
      <c r="AE39">
        <v>1225</v>
      </c>
      <c r="AF39">
        <v>1844</v>
      </c>
      <c r="AH39" t="s">
        <v>411</v>
      </c>
      <c r="AI39">
        <v>1533</v>
      </c>
      <c r="AJ39">
        <v>161.2257012394</v>
      </c>
      <c r="AK39">
        <v>6113</v>
      </c>
      <c r="AL39">
        <v>588</v>
      </c>
      <c r="AM39">
        <v>4651</v>
      </c>
      <c r="AN39">
        <v>656</v>
      </c>
      <c r="AO39">
        <v>1030</v>
      </c>
      <c r="AP39">
        <v>488</v>
      </c>
      <c r="AQ39">
        <v>2976</v>
      </c>
      <c r="AR39">
        <v>1838</v>
      </c>
      <c r="AS39">
        <v>5</v>
      </c>
      <c r="AT39">
        <v>18</v>
      </c>
      <c r="AV39" t="s">
        <v>402</v>
      </c>
      <c r="AW39">
        <v>146</v>
      </c>
      <c r="AX39">
        <v>83.006849315099998</v>
      </c>
      <c r="AY39">
        <v>232</v>
      </c>
      <c r="AZ39">
        <v>10</v>
      </c>
      <c r="BA39">
        <v>344</v>
      </c>
      <c r="BB39">
        <v>44</v>
      </c>
      <c r="BC39">
        <v>4</v>
      </c>
      <c r="BD39">
        <v>3</v>
      </c>
      <c r="BE39">
        <v>17</v>
      </c>
      <c r="BF39">
        <v>8</v>
      </c>
      <c r="BG39">
        <v>391</v>
      </c>
      <c r="BH39">
        <v>82</v>
      </c>
      <c r="BJ39" t="s">
        <v>513</v>
      </c>
      <c r="BK39" t="s">
        <v>368</v>
      </c>
      <c r="BL39">
        <v>2908</v>
      </c>
      <c r="BM39">
        <v>359</v>
      </c>
      <c r="BN39">
        <v>68.060178817099995</v>
      </c>
      <c r="BO39">
        <v>17959</v>
      </c>
      <c r="BP39">
        <v>1760</v>
      </c>
      <c r="BQ39">
        <v>56.499025558200003</v>
      </c>
      <c r="BR39">
        <v>58.091477272699997</v>
      </c>
      <c r="BS39">
        <v>2092</v>
      </c>
      <c r="BT39">
        <v>216</v>
      </c>
      <c r="BU39">
        <v>59.076481835599999</v>
      </c>
      <c r="BV39">
        <v>21854</v>
      </c>
      <c r="BW39">
        <v>2366</v>
      </c>
      <c r="BX39">
        <v>72.303010890500005</v>
      </c>
      <c r="BY39">
        <v>66.240067624700004</v>
      </c>
      <c r="CA39" t="s">
        <v>381</v>
      </c>
      <c r="CB39" t="s">
        <v>855</v>
      </c>
      <c r="CC39" t="s">
        <v>986</v>
      </c>
      <c r="CD39">
        <v>16934</v>
      </c>
      <c r="CE39">
        <v>3860</v>
      </c>
      <c r="CF39">
        <v>93.137711113700007</v>
      </c>
      <c r="CG39">
        <v>42420</v>
      </c>
      <c r="CH39">
        <v>4393</v>
      </c>
      <c r="CI39">
        <v>135.76560584629999</v>
      </c>
      <c r="CJ39">
        <v>130.23423628500001</v>
      </c>
      <c r="CL39" t="s">
        <v>381</v>
      </c>
      <c r="CM39" t="s">
        <v>824</v>
      </c>
      <c r="CN39" t="s">
        <v>833</v>
      </c>
      <c r="CO39">
        <v>1312</v>
      </c>
      <c r="CP39">
        <v>212</v>
      </c>
      <c r="CQ39">
        <v>75.081554878000006</v>
      </c>
      <c r="CR39">
        <v>4373</v>
      </c>
      <c r="CS39">
        <v>581</v>
      </c>
      <c r="CT39">
        <v>97.494168762900003</v>
      </c>
      <c r="CU39">
        <v>101.4320137694</v>
      </c>
      <c r="CW39" t="s">
        <v>381</v>
      </c>
      <c r="CX39" t="s">
        <v>840</v>
      </c>
      <c r="CY39" t="s">
        <v>849</v>
      </c>
      <c r="CZ39">
        <v>461</v>
      </c>
      <c r="DA39">
        <v>56</v>
      </c>
      <c r="DB39">
        <v>74.4121475054</v>
      </c>
      <c r="DC39">
        <v>1129</v>
      </c>
      <c r="DD39">
        <v>90</v>
      </c>
      <c r="DE39">
        <v>150.0097431355</v>
      </c>
      <c r="DF39">
        <v>124.55555555559999</v>
      </c>
      <c r="DH39" t="s">
        <v>381</v>
      </c>
      <c r="DI39" t="s">
        <v>808</v>
      </c>
      <c r="DJ39" t="s">
        <v>817</v>
      </c>
      <c r="DK39">
        <v>681</v>
      </c>
      <c r="DL39">
        <v>53</v>
      </c>
      <c r="DM39">
        <v>59.283406754799998</v>
      </c>
      <c r="DN39">
        <v>2029</v>
      </c>
      <c r="DO39">
        <v>156</v>
      </c>
      <c r="DP39">
        <v>141.2774765895</v>
      </c>
      <c r="DQ39">
        <v>126.62179487180001</v>
      </c>
    </row>
    <row r="40" spans="2:121" x14ac:dyDescent="0.2">
      <c r="B40" t="s">
        <v>102</v>
      </c>
      <c r="C40">
        <v>24608</v>
      </c>
      <c r="D40">
        <v>17002</v>
      </c>
      <c r="F40" t="s">
        <v>64</v>
      </c>
      <c r="G40">
        <v>2920</v>
      </c>
      <c r="H40">
        <v>252.1688356164</v>
      </c>
      <c r="I40">
        <v>4861</v>
      </c>
      <c r="J40">
        <v>673</v>
      </c>
      <c r="K40">
        <v>5724</v>
      </c>
      <c r="L40">
        <v>1963</v>
      </c>
      <c r="M40">
        <v>1152</v>
      </c>
      <c r="N40">
        <v>723</v>
      </c>
      <c r="O40">
        <v>1255</v>
      </c>
      <c r="P40">
        <v>766</v>
      </c>
      <c r="Q40">
        <v>0</v>
      </c>
      <c r="R40">
        <v>82</v>
      </c>
      <c r="T40" t="s">
        <v>8</v>
      </c>
      <c r="U40">
        <v>177</v>
      </c>
      <c r="V40">
        <v>104.5310734463</v>
      </c>
      <c r="W40">
        <v>218</v>
      </c>
      <c r="X40">
        <v>112</v>
      </c>
      <c r="Y40">
        <v>364</v>
      </c>
      <c r="Z40">
        <v>213</v>
      </c>
      <c r="AA40">
        <v>6</v>
      </c>
      <c r="AB40">
        <v>6</v>
      </c>
      <c r="AC40">
        <v>8</v>
      </c>
      <c r="AD40">
        <v>4</v>
      </c>
      <c r="AE40">
        <v>58</v>
      </c>
      <c r="AF40">
        <v>24</v>
      </c>
      <c r="AH40" t="s">
        <v>408</v>
      </c>
      <c r="AI40">
        <v>5321</v>
      </c>
      <c r="AJ40">
        <v>400.05600451039999</v>
      </c>
      <c r="AK40">
        <v>4833</v>
      </c>
      <c r="AL40">
        <v>885</v>
      </c>
      <c r="AM40">
        <v>8916</v>
      </c>
      <c r="AN40">
        <v>4923</v>
      </c>
      <c r="AO40">
        <v>3297</v>
      </c>
      <c r="AP40">
        <v>2793</v>
      </c>
      <c r="AQ40">
        <v>3202</v>
      </c>
      <c r="AR40">
        <v>2283</v>
      </c>
      <c r="AS40">
        <v>8</v>
      </c>
      <c r="AT40">
        <v>107</v>
      </c>
      <c r="AV40" t="s">
        <v>372</v>
      </c>
      <c r="AW40">
        <v>204</v>
      </c>
      <c r="AX40">
        <v>108.5980392157</v>
      </c>
      <c r="AY40">
        <v>368</v>
      </c>
      <c r="AZ40">
        <v>54</v>
      </c>
      <c r="BA40">
        <v>274</v>
      </c>
      <c r="BB40">
        <v>87</v>
      </c>
      <c r="BC40">
        <v>0</v>
      </c>
      <c r="BE40">
        <v>21</v>
      </c>
      <c r="BF40">
        <v>5</v>
      </c>
      <c r="BG40">
        <v>29</v>
      </c>
      <c r="BH40">
        <v>48</v>
      </c>
      <c r="BJ40" t="s">
        <v>534</v>
      </c>
      <c r="BK40" t="s">
        <v>368</v>
      </c>
      <c r="BL40">
        <v>11308</v>
      </c>
      <c r="BM40">
        <v>2228</v>
      </c>
      <c r="BN40">
        <v>89.049168730100007</v>
      </c>
      <c r="BO40">
        <v>28794</v>
      </c>
      <c r="BP40">
        <v>2762</v>
      </c>
      <c r="BQ40">
        <v>135.67371674649999</v>
      </c>
      <c r="BR40">
        <v>131.7324402607</v>
      </c>
      <c r="BS40">
        <v>3547</v>
      </c>
      <c r="BT40">
        <v>994</v>
      </c>
      <c r="BU40">
        <v>100.9173949817</v>
      </c>
      <c r="BV40">
        <v>28900</v>
      </c>
      <c r="BW40">
        <v>2828</v>
      </c>
      <c r="BX40">
        <v>132.851384083</v>
      </c>
      <c r="BY40">
        <v>133.85289957570001</v>
      </c>
      <c r="CA40" t="s">
        <v>374</v>
      </c>
      <c r="CB40" t="s">
        <v>855</v>
      </c>
      <c r="CC40" t="s">
        <v>987</v>
      </c>
      <c r="CD40">
        <v>9651</v>
      </c>
      <c r="CE40">
        <v>2781</v>
      </c>
      <c r="CF40">
        <v>112.8398093462</v>
      </c>
      <c r="CG40">
        <v>23672</v>
      </c>
      <c r="CH40">
        <v>2287</v>
      </c>
      <c r="CI40">
        <v>140.4305086178</v>
      </c>
      <c r="CJ40">
        <v>143.82597289020001</v>
      </c>
      <c r="CL40" t="s">
        <v>374</v>
      </c>
      <c r="CM40" t="s">
        <v>824</v>
      </c>
      <c r="CN40" t="s">
        <v>834</v>
      </c>
      <c r="CO40">
        <v>1475</v>
      </c>
      <c r="CP40">
        <v>184</v>
      </c>
      <c r="CQ40">
        <v>71.926101694899998</v>
      </c>
      <c r="CR40">
        <v>5083</v>
      </c>
      <c r="CS40">
        <v>647</v>
      </c>
      <c r="CT40">
        <v>96.9024198308</v>
      </c>
      <c r="CU40">
        <v>103.341576507</v>
      </c>
      <c r="CW40" t="s">
        <v>374</v>
      </c>
      <c r="CX40" t="s">
        <v>840</v>
      </c>
      <c r="CY40" t="s">
        <v>850</v>
      </c>
      <c r="CZ40">
        <v>160</v>
      </c>
      <c r="DA40">
        <v>17</v>
      </c>
      <c r="DB40">
        <v>66.612499999999997</v>
      </c>
      <c r="DC40">
        <v>418</v>
      </c>
      <c r="DD40">
        <v>39</v>
      </c>
      <c r="DE40">
        <v>141.2105263158</v>
      </c>
      <c r="DF40">
        <v>117.8974358974</v>
      </c>
      <c r="DH40" t="s">
        <v>374</v>
      </c>
      <c r="DI40" t="s">
        <v>808</v>
      </c>
      <c r="DJ40" t="s">
        <v>818</v>
      </c>
      <c r="DK40">
        <v>112</v>
      </c>
      <c r="DL40">
        <v>18</v>
      </c>
      <c r="DM40">
        <v>75.464285714300004</v>
      </c>
      <c r="DN40">
        <v>346</v>
      </c>
      <c r="DO40">
        <v>28</v>
      </c>
      <c r="DP40">
        <v>130.85838150289999</v>
      </c>
      <c r="DQ40">
        <v>132.78571428570001</v>
      </c>
    </row>
    <row r="41" spans="2:121" x14ac:dyDescent="0.2">
      <c r="B41" t="s">
        <v>99</v>
      </c>
      <c r="C41">
        <v>21742</v>
      </c>
      <c r="D41">
        <v>3368</v>
      </c>
      <c r="F41" t="s">
        <v>44</v>
      </c>
      <c r="G41">
        <v>549</v>
      </c>
      <c r="H41">
        <v>288.89253187610001</v>
      </c>
      <c r="I41">
        <v>1772</v>
      </c>
      <c r="J41">
        <v>322</v>
      </c>
      <c r="K41">
        <v>2423</v>
      </c>
      <c r="L41">
        <v>686</v>
      </c>
      <c r="M41">
        <v>444</v>
      </c>
      <c r="N41">
        <v>243</v>
      </c>
      <c r="O41">
        <v>820</v>
      </c>
      <c r="P41">
        <v>682</v>
      </c>
      <c r="Q41">
        <v>0</v>
      </c>
      <c r="R41">
        <v>5</v>
      </c>
      <c r="T41" t="s">
        <v>384</v>
      </c>
      <c r="U41">
        <v>2396</v>
      </c>
      <c r="V41">
        <v>68.212437395699993</v>
      </c>
      <c r="W41">
        <v>3085</v>
      </c>
      <c r="X41">
        <v>181</v>
      </c>
      <c r="Y41">
        <v>3827</v>
      </c>
      <c r="Z41">
        <v>393</v>
      </c>
      <c r="AA41">
        <v>22</v>
      </c>
      <c r="AB41">
        <v>20</v>
      </c>
      <c r="AC41">
        <v>234</v>
      </c>
      <c r="AD41">
        <v>81</v>
      </c>
      <c r="AE41">
        <v>3276</v>
      </c>
      <c r="AF41">
        <v>860</v>
      </c>
      <c r="AH41" t="s">
        <v>8</v>
      </c>
      <c r="AI41">
        <v>3041</v>
      </c>
      <c r="AJ41">
        <v>335.76389345609999</v>
      </c>
      <c r="AK41">
        <v>4452</v>
      </c>
      <c r="AL41">
        <v>1719</v>
      </c>
      <c r="AM41">
        <v>5047</v>
      </c>
      <c r="AN41">
        <v>2852</v>
      </c>
      <c r="AO41">
        <v>1504</v>
      </c>
      <c r="AP41">
        <v>1006</v>
      </c>
      <c r="AQ41">
        <v>1316</v>
      </c>
      <c r="AR41">
        <v>839</v>
      </c>
      <c r="AS41">
        <v>502</v>
      </c>
      <c r="AT41">
        <v>151</v>
      </c>
      <c r="AV41" t="s">
        <v>386</v>
      </c>
      <c r="AW41">
        <v>381</v>
      </c>
      <c r="AX41">
        <v>70.377952755899997</v>
      </c>
      <c r="AY41">
        <v>471</v>
      </c>
      <c r="AZ41">
        <v>45</v>
      </c>
      <c r="BA41">
        <v>534</v>
      </c>
      <c r="BB41">
        <v>59</v>
      </c>
      <c r="BC41">
        <v>2</v>
      </c>
      <c r="BD41">
        <v>2</v>
      </c>
      <c r="BE41">
        <v>36</v>
      </c>
      <c r="BF41">
        <v>8</v>
      </c>
      <c r="BG41">
        <v>107</v>
      </c>
      <c r="BH41">
        <v>75</v>
      </c>
      <c r="BJ41" t="s">
        <v>626</v>
      </c>
      <c r="BK41" t="s">
        <v>368</v>
      </c>
      <c r="BL41">
        <v>1518</v>
      </c>
      <c r="BM41">
        <v>171</v>
      </c>
      <c r="BN41">
        <v>71.679841897200006</v>
      </c>
      <c r="BO41">
        <v>4278</v>
      </c>
      <c r="BP41">
        <v>444</v>
      </c>
      <c r="BQ41">
        <v>103.83567087420001</v>
      </c>
      <c r="BR41">
        <v>96.0427927928</v>
      </c>
      <c r="BS41">
        <v>1926</v>
      </c>
      <c r="BT41">
        <v>205</v>
      </c>
      <c r="BU41">
        <v>77.2689511942</v>
      </c>
      <c r="BV41">
        <v>14387</v>
      </c>
      <c r="BW41">
        <v>1387</v>
      </c>
      <c r="BX41">
        <v>124.96594147490001</v>
      </c>
      <c r="BY41">
        <v>91.410237923599993</v>
      </c>
      <c r="CA41" t="s">
        <v>371</v>
      </c>
      <c r="CB41" t="s">
        <v>855</v>
      </c>
      <c r="CC41" t="s">
        <v>988</v>
      </c>
      <c r="CD41">
        <v>901</v>
      </c>
      <c r="CE41">
        <v>167</v>
      </c>
      <c r="CF41">
        <v>86.5527192009</v>
      </c>
      <c r="CG41">
        <v>2779</v>
      </c>
      <c r="CH41">
        <v>293</v>
      </c>
      <c r="CI41">
        <v>106.7732997481</v>
      </c>
      <c r="CJ41">
        <v>102.8225255973</v>
      </c>
      <c r="CL41" t="s">
        <v>371</v>
      </c>
      <c r="CM41" t="s">
        <v>824</v>
      </c>
      <c r="CN41" t="s">
        <v>835</v>
      </c>
      <c r="CO41">
        <v>99</v>
      </c>
      <c r="CP41">
        <v>9</v>
      </c>
      <c r="CQ41">
        <v>70.101010101</v>
      </c>
      <c r="CR41">
        <v>388</v>
      </c>
      <c r="CS41">
        <v>47</v>
      </c>
      <c r="CT41">
        <v>98.376288659799997</v>
      </c>
      <c r="CU41">
        <v>122.21276595739999</v>
      </c>
      <c r="CW41" t="s">
        <v>371</v>
      </c>
      <c r="CX41" t="s">
        <v>840</v>
      </c>
      <c r="CY41" t="s">
        <v>851</v>
      </c>
      <c r="CZ41">
        <v>6</v>
      </c>
      <c r="DA41">
        <v>0</v>
      </c>
      <c r="DB41">
        <v>63</v>
      </c>
      <c r="DC41">
        <v>28</v>
      </c>
      <c r="DD41">
        <v>1</v>
      </c>
      <c r="DE41">
        <v>153.82142857139999</v>
      </c>
      <c r="DF41">
        <v>78</v>
      </c>
      <c r="DH41" t="s">
        <v>371</v>
      </c>
      <c r="DI41" t="s">
        <v>808</v>
      </c>
      <c r="DJ41" t="s">
        <v>819</v>
      </c>
      <c r="DK41">
        <v>9</v>
      </c>
      <c r="DL41">
        <v>1</v>
      </c>
      <c r="DM41">
        <v>58.666666666700003</v>
      </c>
      <c r="DN41">
        <v>23</v>
      </c>
      <c r="DO41">
        <v>2</v>
      </c>
      <c r="DP41">
        <v>124.9565217391</v>
      </c>
      <c r="DQ41">
        <v>71</v>
      </c>
    </row>
    <row r="42" spans="2:121" x14ac:dyDescent="0.2">
      <c r="B42" t="s">
        <v>117</v>
      </c>
      <c r="C42">
        <v>5096</v>
      </c>
      <c r="D42">
        <v>1059</v>
      </c>
      <c r="F42" t="s">
        <v>24</v>
      </c>
      <c r="G42">
        <v>560</v>
      </c>
      <c r="H42">
        <v>185.33392857140001</v>
      </c>
      <c r="I42">
        <v>3784</v>
      </c>
      <c r="J42">
        <v>744</v>
      </c>
      <c r="K42">
        <v>2907</v>
      </c>
      <c r="L42">
        <v>937</v>
      </c>
      <c r="M42">
        <v>959</v>
      </c>
      <c r="N42">
        <v>656</v>
      </c>
      <c r="O42">
        <v>312</v>
      </c>
      <c r="P42">
        <v>147</v>
      </c>
      <c r="Q42">
        <v>0</v>
      </c>
      <c r="R42">
        <v>0</v>
      </c>
      <c r="T42" t="s">
        <v>403</v>
      </c>
      <c r="U42">
        <v>1994</v>
      </c>
      <c r="V42">
        <v>65.565195586800002</v>
      </c>
      <c r="W42">
        <v>3080</v>
      </c>
      <c r="X42">
        <v>136</v>
      </c>
      <c r="Y42">
        <v>3671</v>
      </c>
      <c r="Z42">
        <v>441</v>
      </c>
      <c r="AA42">
        <v>13</v>
      </c>
      <c r="AB42">
        <v>12</v>
      </c>
      <c r="AC42">
        <v>188</v>
      </c>
      <c r="AD42">
        <v>80</v>
      </c>
      <c r="AE42">
        <v>3829</v>
      </c>
      <c r="AF42">
        <v>922</v>
      </c>
      <c r="AH42" t="s">
        <v>374</v>
      </c>
      <c r="AI42">
        <v>5095</v>
      </c>
      <c r="AJ42">
        <v>384.17350343470002</v>
      </c>
      <c r="AK42">
        <v>9784</v>
      </c>
      <c r="AL42">
        <v>2775</v>
      </c>
      <c r="AM42">
        <v>11548</v>
      </c>
      <c r="AN42">
        <v>5591</v>
      </c>
      <c r="AO42">
        <v>2375</v>
      </c>
      <c r="AP42">
        <v>1977</v>
      </c>
      <c r="AQ42">
        <v>6425</v>
      </c>
      <c r="AR42">
        <v>5242</v>
      </c>
      <c r="AS42">
        <v>1608</v>
      </c>
      <c r="AT42">
        <v>16</v>
      </c>
      <c r="AV42" t="s">
        <v>373</v>
      </c>
      <c r="AW42">
        <v>484</v>
      </c>
      <c r="AX42">
        <v>103.132231405</v>
      </c>
      <c r="AY42">
        <v>674</v>
      </c>
      <c r="AZ42">
        <v>119</v>
      </c>
      <c r="BA42">
        <v>654</v>
      </c>
      <c r="BB42">
        <v>203</v>
      </c>
      <c r="BC42">
        <v>1</v>
      </c>
      <c r="BD42">
        <v>1</v>
      </c>
      <c r="BE42">
        <v>22</v>
      </c>
      <c r="BF42">
        <v>8</v>
      </c>
      <c r="BG42">
        <v>70</v>
      </c>
      <c r="BH42">
        <v>146</v>
      </c>
      <c r="BJ42" t="s">
        <v>628</v>
      </c>
      <c r="BK42" t="s">
        <v>368</v>
      </c>
      <c r="BL42">
        <v>527</v>
      </c>
      <c r="BM42">
        <v>121</v>
      </c>
      <c r="BN42">
        <v>95.364326375700003</v>
      </c>
      <c r="BO42">
        <v>1275</v>
      </c>
      <c r="BP42">
        <v>176</v>
      </c>
      <c r="BQ42">
        <v>137.86666666670001</v>
      </c>
      <c r="BR42">
        <v>154.2784090909</v>
      </c>
      <c r="BS42">
        <v>349</v>
      </c>
      <c r="BT42">
        <v>107</v>
      </c>
      <c r="BU42">
        <v>100.9828080229</v>
      </c>
      <c r="BV42">
        <v>1859</v>
      </c>
      <c r="BW42">
        <v>194</v>
      </c>
      <c r="BX42">
        <v>144.37439483590001</v>
      </c>
      <c r="BY42">
        <v>163.0979381443</v>
      </c>
      <c r="CA42" t="s">
        <v>416</v>
      </c>
      <c r="CB42" t="s">
        <v>855</v>
      </c>
      <c r="CC42" t="s">
        <v>989</v>
      </c>
      <c r="CD42">
        <v>521</v>
      </c>
      <c r="CE42">
        <v>121</v>
      </c>
      <c r="CF42">
        <v>95.270633397300003</v>
      </c>
      <c r="CG42">
        <v>1254</v>
      </c>
      <c r="CH42">
        <v>175</v>
      </c>
      <c r="CI42">
        <v>132.12121212119999</v>
      </c>
      <c r="CJ42">
        <v>140.82285714290001</v>
      </c>
      <c r="CL42" t="s">
        <v>416</v>
      </c>
      <c r="CM42" t="s">
        <v>824</v>
      </c>
      <c r="CN42" t="s">
        <v>836</v>
      </c>
      <c r="CO42">
        <v>41</v>
      </c>
      <c r="CP42">
        <v>5</v>
      </c>
      <c r="CQ42">
        <v>64.048780487800002</v>
      </c>
      <c r="CR42">
        <v>139</v>
      </c>
      <c r="CS42">
        <v>11</v>
      </c>
      <c r="CT42">
        <v>101.3381294964</v>
      </c>
      <c r="CU42">
        <v>96.181818181799997</v>
      </c>
      <c r="CW42" t="s">
        <v>416</v>
      </c>
      <c r="CX42" t="s">
        <v>840</v>
      </c>
      <c r="CY42" t="s">
        <v>852</v>
      </c>
      <c r="CZ42">
        <v>7</v>
      </c>
      <c r="DA42">
        <v>0</v>
      </c>
      <c r="DB42">
        <v>39.142857142899999</v>
      </c>
      <c r="DC42">
        <v>13</v>
      </c>
      <c r="DD42">
        <v>2</v>
      </c>
      <c r="DE42">
        <v>148.61538461539999</v>
      </c>
      <c r="DF42">
        <v>171.5</v>
      </c>
      <c r="DH42" t="s">
        <v>416</v>
      </c>
      <c r="DI42" t="s">
        <v>808</v>
      </c>
      <c r="DJ42" t="s">
        <v>820</v>
      </c>
      <c r="DK42">
        <v>6</v>
      </c>
      <c r="DL42">
        <v>1</v>
      </c>
      <c r="DM42">
        <v>89.666666666699996</v>
      </c>
      <c r="DN42">
        <v>12</v>
      </c>
      <c r="DO42">
        <v>0</v>
      </c>
      <c r="DP42">
        <v>115.4166666667</v>
      </c>
      <c r="DQ42">
        <v>0</v>
      </c>
    </row>
    <row r="43" spans="2:121" x14ac:dyDescent="0.2">
      <c r="B43" t="s">
        <v>1057</v>
      </c>
      <c r="C43">
        <v>1129</v>
      </c>
      <c r="D43">
        <v>526</v>
      </c>
      <c r="F43" t="s">
        <v>59</v>
      </c>
      <c r="G43">
        <v>3540</v>
      </c>
      <c r="H43">
        <v>438.57994350280001</v>
      </c>
      <c r="I43">
        <v>4974</v>
      </c>
      <c r="J43">
        <v>988</v>
      </c>
      <c r="K43">
        <v>6483</v>
      </c>
      <c r="L43">
        <v>3170</v>
      </c>
      <c r="M43">
        <v>1203</v>
      </c>
      <c r="N43">
        <v>810</v>
      </c>
      <c r="O43">
        <v>1912</v>
      </c>
      <c r="P43">
        <v>1341</v>
      </c>
      <c r="Q43">
        <v>2</v>
      </c>
      <c r="R43">
        <v>274</v>
      </c>
      <c r="AH43" t="s">
        <v>426</v>
      </c>
      <c r="AI43">
        <v>1180</v>
      </c>
      <c r="AJ43">
        <v>235.9686440678</v>
      </c>
      <c r="AK43">
        <v>3037</v>
      </c>
      <c r="AL43">
        <v>643</v>
      </c>
      <c r="AM43">
        <v>4628</v>
      </c>
      <c r="AN43">
        <v>1728</v>
      </c>
      <c r="AO43">
        <v>1002</v>
      </c>
      <c r="AP43">
        <v>821</v>
      </c>
      <c r="AQ43">
        <v>1732</v>
      </c>
      <c r="AR43">
        <v>1248</v>
      </c>
      <c r="AS43">
        <v>417</v>
      </c>
      <c r="AT43">
        <v>2</v>
      </c>
      <c r="AV43" t="s">
        <v>405</v>
      </c>
      <c r="AW43">
        <v>80</v>
      </c>
      <c r="AX43">
        <v>62.712499999999999</v>
      </c>
      <c r="AY43">
        <v>154</v>
      </c>
      <c r="AZ43">
        <v>3</v>
      </c>
      <c r="BA43">
        <v>144</v>
      </c>
      <c r="BB43">
        <v>14</v>
      </c>
      <c r="BC43">
        <v>0</v>
      </c>
      <c r="BE43">
        <v>3</v>
      </c>
      <c r="BG43">
        <v>187</v>
      </c>
      <c r="BH43">
        <v>29</v>
      </c>
      <c r="BJ43" t="s">
        <v>642</v>
      </c>
      <c r="BK43" t="s">
        <v>368</v>
      </c>
      <c r="BL43">
        <v>860</v>
      </c>
      <c r="BM43">
        <v>167</v>
      </c>
      <c r="BN43">
        <v>85.240697674399996</v>
      </c>
      <c r="BO43">
        <v>2045</v>
      </c>
      <c r="BP43">
        <v>193</v>
      </c>
      <c r="BQ43">
        <v>140.53691931540001</v>
      </c>
      <c r="BR43">
        <v>146.0103626943</v>
      </c>
      <c r="BS43">
        <v>207</v>
      </c>
      <c r="BT43">
        <v>110</v>
      </c>
      <c r="BU43">
        <v>142.07246376809999</v>
      </c>
      <c r="BV43">
        <v>1225</v>
      </c>
      <c r="BW43">
        <v>125</v>
      </c>
      <c r="BX43">
        <v>134.7942857143</v>
      </c>
      <c r="BY43">
        <v>208.08</v>
      </c>
      <c r="CA43" t="s">
        <v>377</v>
      </c>
      <c r="CB43" t="s">
        <v>855</v>
      </c>
      <c r="CC43" t="s">
        <v>990</v>
      </c>
      <c r="CD43">
        <v>11140</v>
      </c>
      <c r="CE43">
        <v>1996</v>
      </c>
      <c r="CF43">
        <v>84.557630161600002</v>
      </c>
      <c r="CG43">
        <v>29872</v>
      </c>
      <c r="CH43">
        <v>2828</v>
      </c>
      <c r="CI43">
        <v>130.06092662020001</v>
      </c>
      <c r="CJ43">
        <v>121.6987270156</v>
      </c>
      <c r="CL43" t="s">
        <v>377</v>
      </c>
      <c r="CM43" t="s">
        <v>824</v>
      </c>
      <c r="CN43" t="s">
        <v>837</v>
      </c>
      <c r="CO43">
        <v>930</v>
      </c>
      <c r="CP43">
        <v>138</v>
      </c>
      <c r="CQ43">
        <v>72.358064516100001</v>
      </c>
      <c r="CR43">
        <v>2745</v>
      </c>
      <c r="CS43">
        <v>362</v>
      </c>
      <c r="CT43">
        <v>101.2633879781</v>
      </c>
      <c r="CU43">
        <v>98.270718231999993</v>
      </c>
      <c r="CW43" t="s">
        <v>377</v>
      </c>
      <c r="CX43" t="s">
        <v>840</v>
      </c>
      <c r="CY43" t="s">
        <v>853</v>
      </c>
      <c r="CZ43">
        <v>500</v>
      </c>
      <c r="DA43">
        <v>60</v>
      </c>
      <c r="DB43">
        <v>74.843999999999994</v>
      </c>
      <c r="DC43">
        <v>1311</v>
      </c>
      <c r="DD43">
        <v>135</v>
      </c>
      <c r="DE43">
        <v>153.56292906179999</v>
      </c>
      <c r="DF43">
        <v>130.2962962963</v>
      </c>
      <c r="DH43" t="s">
        <v>377</v>
      </c>
      <c r="DI43" t="s">
        <v>808</v>
      </c>
      <c r="DJ43" t="s">
        <v>821</v>
      </c>
      <c r="DK43">
        <v>635</v>
      </c>
      <c r="DL43">
        <v>67</v>
      </c>
      <c r="DM43">
        <v>68.229921259799994</v>
      </c>
      <c r="DN43">
        <v>2207</v>
      </c>
      <c r="DO43">
        <v>177</v>
      </c>
      <c r="DP43">
        <v>147.2931581332</v>
      </c>
      <c r="DQ43">
        <v>127.42372881359999</v>
      </c>
    </row>
    <row r="44" spans="2:121" x14ac:dyDescent="0.2">
      <c r="B44" t="s">
        <v>100</v>
      </c>
      <c r="C44">
        <v>341</v>
      </c>
      <c r="D44">
        <v>260</v>
      </c>
      <c r="F44" t="s">
        <v>54</v>
      </c>
      <c r="G44">
        <v>908</v>
      </c>
      <c r="H44">
        <v>264.13986784140002</v>
      </c>
      <c r="I44">
        <v>1184</v>
      </c>
      <c r="J44">
        <v>175</v>
      </c>
      <c r="K44">
        <v>1746</v>
      </c>
      <c r="L44">
        <v>740</v>
      </c>
      <c r="M44">
        <v>218</v>
      </c>
      <c r="N44">
        <v>143</v>
      </c>
      <c r="O44">
        <v>132</v>
      </c>
      <c r="P44">
        <v>50</v>
      </c>
      <c r="Q44">
        <v>0</v>
      </c>
      <c r="R44">
        <v>1</v>
      </c>
      <c r="AH44" t="s">
        <v>371</v>
      </c>
      <c r="AI44">
        <v>264</v>
      </c>
      <c r="AJ44">
        <v>220.68939393939999</v>
      </c>
      <c r="AK44">
        <v>915</v>
      </c>
      <c r="AL44">
        <v>172</v>
      </c>
      <c r="AM44">
        <v>1060</v>
      </c>
      <c r="AN44">
        <v>254</v>
      </c>
      <c r="AO44">
        <v>219</v>
      </c>
      <c r="AP44">
        <v>169</v>
      </c>
      <c r="AQ44">
        <v>229</v>
      </c>
      <c r="AR44">
        <v>127</v>
      </c>
      <c r="AS44">
        <v>191</v>
      </c>
      <c r="AT44">
        <v>3</v>
      </c>
      <c r="AV44" t="s">
        <v>407</v>
      </c>
      <c r="AW44">
        <v>69</v>
      </c>
      <c r="AX44">
        <v>66.521739130399993</v>
      </c>
      <c r="AY44">
        <v>95</v>
      </c>
      <c r="AZ44">
        <v>3</v>
      </c>
      <c r="BA44">
        <v>125</v>
      </c>
      <c r="BB44">
        <v>15</v>
      </c>
      <c r="BC44">
        <v>1</v>
      </c>
      <c r="BD44">
        <v>1</v>
      </c>
      <c r="BE44">
        <v>4</v>
      </c>
      <c r="BG44">
        <v>122</v>
      </c>
      <c r="BH44">
        <v>21</v>
      </c>
      <c r="BJ44" t="s">
        <v>542</v>
      </c>
      <c r="BK44" t="s">
        <v>368</v>
      </c>
      <c r="BL44">
        <v>17597</v>
      </c>
      <c r="BM44">
        <v>3985</v>
      </c>
      <c r="BN44">
        <v>92.999886344299995</v>
      </c>
      <c r="BO44">
        <v>41858</v>
      </c>
      <c r="BP44">
        <v>4343</v>
      </c>
      <c r="BQ44">
        <v>143.256462325</v>
      </c>
      <c r="BR44">
        <v>136.39788164859999</v>
      </c>
      <c r="BS44">
        <v>4592</v>
      </c>
      <c r="BT44">
        <v>1293</v>
      </c>
      <c r="BU44">
        <v>107.29486062719999</v>
      </c>
      <c r="BV44">
        <v>26626</v>
      </c>
      <c r="BW44">
        <v>2552</v>
      </c>
      <c r="BX44">
        <v>141.74108014719999</v>
      </c>
      <c r="BY44">
        <v>151.64341692790001</v>
      </c>
      <c r="CA44" t="s">
        <v>378</v>
      </c>
      <c r="CB44" t="s">
        <v>855</v>
      </c>
      <c r="CC44" t="s">
        <v>991</v>
      </c>
      <c r="CD44">
        <v>2350</v>
      </c>
      <c r="CE44">
        <v>429</v>
      </c>
      <c r="CF44">
        <v>83.610212766000004</v>
      </c>
      <c r="CG44">
        <v>7901</v>
      </c>
      <c r="CH44">
        <v>908</v>
      </c>
      <c r="CI44">
        <v>116.7921782053</v>
      </c>
      <c r="CJ44">
        <v>114.1519823789</v>
      </c>
      <c r="CL44" t="s">
        <v>378</v>
      </c>
      <c r="CM44" t="s">
        <v>824</v>
      </c>
      <c r="CN44" t="s">
        <v>838</v>
      </c>
      <c r="CO44">
        <v>231</v>
      </c>
      <c r="CP44">
        <v>24</v>
      </c>
      <c r="CQ44">
        <v>68.203463203499993</v>
      </c>
      <c r="CR44">
        <v>908</v>
      </c>
      <c r="CS44">
        <v>112</v>
      </c>
      <c r="CT44">
        <v>99.382158590299994</v>
      </c>
      <c r="CU44">
        <v>104.42857142859999</v>
      </c>
      <c r="CW44" t="s">
        <v>378</v>
      </c>
      <c r="CX44" t="s">
        <v>840</v>
      </c>
      <c r="CY44" t="s">
        <v>854</v>
      </c>
      <c r="CZ44">
        <v>20</v>
      </c>
      <c r="DA44">
        <v>2</v>
      </c>
      <c r="DB44">
        <v>68.900000000000006</v>
      </c>
      <c r="DC44">
        <v>46</v>
      </c>
      <c r="DD44">
        <v>5</v>
      </c>
      <c r="DE44">
        <v>140.21739130430001</v>
      </c>
      <c r="DF44">
        <v>95</v>
      </c>
      <c r="DH44" t="s">
        <v>378</v>
      </c>
      <c r="DI44" t="s">
        <v>808</v>
      </c>
      <c r="DJ44" t="s">
        <v>822</v>
      </c>
      <c r="DK44">
        <v>12</v>
      </c>
      <c r="DL44">
        <v>0</v>
      </c>
      <c r="DM44">
        <v>71.75</v>
      </c>
      <c r="DN44">
        <v>75</v>
      </c>
      <c r="DO44">
        <v>3</v>
      </c>
      <c r="DP44">
        <v>125.64</v>
      </c>
      <c r="DQ44">
        <v>53.333333333299997</v>
      </c>
    </row>
    <row r="45" spans="2:121" x14ac:dyDescent="0.2">
      <c r="B45" t="s">
        <v>92</v>
      </c>
      <c r="C45">
        <v>6</v>
      </c>
      <c r="D45">
        <v>2</v>
      </c>
      <c r="F45" t="s">
        <v>33</v>
      </c>
      <c r="G45">
        <v>7877</v>
      </c>
      <c r="H45">
        <v>696.84308746980003</v>
      </c>
      <c r="I45">
        <v>5480</v>
      </c>
      <c r="J45">
        <v>1234</v>
      </c>
      <c r="K45">
        <v>10747</v>
      </c>
      <c r="L45">
        <v>7511</v>
      </c>
      <c r="M45">
        <v>3433</v>
      </c>
      <c r="N45">
        <v>3072</v>
      </c>
      <c r="O45">
        <v>1502</v>
      </c>
      <c r="P45">
        <v>1205</v>
      </c>
      <c r="Q45">
        <v>0</v>
      </c>
      <c r="R45">
        <v>7</v>
      </c>
      <c r="AH45" t="s">
        <v>382</v>
      </c>
      <c r="AI45">
        <v>6917</v>
      </c>
      <c r="AJ45">
        <v>335.7387595779</v>
      </c>
      <c r="AK45">
        <v>9986</v>
      </c>
      <c r="AL45">
        <v>2619</v>
      </c>
      <c r="AM45">
        <v>12733</v>
      </c>
      <c r="AN45">
        <v>7098</v>
      </c>
      <c r="AO45">
        <v>3089</v>
      </c>
      <c r="AP45">
        <v>2383</v>
      </c>
      <c r="AQ45">
        <v>3787</v>
      </c>
      <c r="AR45">
        <v>2528</v>
      </c>
      <c r="AS45">
        <v>749</v>
      </c>
      <c r="AT45">
        <v>64</v>
      </c>
      <c r="AV45" t="s">
        <v>409</v>
      </c>
      <c r="AW45">
        <v>1053</v>
      </c>
      <c r="AX45">
        <v>67.698005698000003</v>
      </c>
      <c r="AY45">
        <v>1312</v>
      </c>
      <c r="AZ45">
        <v>53</v>
      </c>
      <c r="BA45">
        <v>1691</v>
      </c>
      <c r="BB45">
        <v>153</v>
      </c>
      <c r="BC45">
        <v>7</v>
      </c>
      <c r="BD45">
        <v>6</v>
      </c>
      <c r="BE45">
        <v>93</v>
      </c>
      <c r="BF45">
        <v>38</v>
      </c>
      <c r="BG45">
        <v>1627</v>
      </c>
      <c r="BH45">
        <v>503</v>
      </c>
      <c r="BJ45" t="s">
        <v>8</v>
      </c>
      <c r="BK45" t="s">
        <v>8</v>
      </c>
      <c r="BL45">
        <v>134</v>
      </c>
      <c r="BM45">
        <v>115</v>
      </c>
      <c r="BN45">
        <v>174.4029850746</v>
      </c>
      <c r="BO45">
        <v>569</v>
      </c>
      <c r="BP45">
        <v>18</v>
      </c>
      <c r="BQ45">
        <v>228.53251318100001</v>
      </c>
      <c r="BR45">
        <v>255.7777777778</v>
      </c>
      <c r="BS45">
        <v>212720</v>
      </c>
      <c r="BT45">
        <v>39251</v>
      </c>
      <c r="BU45">
        <v>86.034444339999993</v>
      </c>
      <c r="BV45">
        <v>15</v>
      </c>
      <c r="BW45">
        <v>2</v>
      </c>
      <c r="BX45">
        <v>146.13333333329999</v>
      </c>
      <c r="BY45">
        <v>114</v>
      </c>
      <c r="CA45" t="s">
        <v>368</v>
      </c>
      <c r="CB45" t="s">
        <v>855</v>
      </c>
      <c r="CD45">
        <v>71371</v>
      </c>
      <c r="CE45">
        <v>15925</v>
      </c>
      <c r="CF45">
        <v>94.627425705099995</v>
      </c>
      <c r="CG45">
        <v>185111</v>
      </c>
      <c r="CH45">
        <v>18502</v>
      </c>
      <c r="CI45">
        <v>131.45425717539999</v>
      </c>
      <c r="CJ45">
        <v>128.82515403740001</v>
      </c>
      <c r="CL45" t="s">
        <v>368</v>
      </c>
      <c r="CM45" t="s">
        <v>824</v>
      </c>
      <c r="CO45">
        <v>7325</v>
      </c>
      <c r="CP45">
        <v>998</v>
      </c>
      <c r="CQ45">
        <v>71.799726962500003</v>
      </c>
      <c r="CR45">
        <v>24916</v>
      </c>
      <c r="CS45">
        <v>3269</v>
      </c>
      <c r="CT45">
        <v>98.079306469700001</v>
      </c>
      <c r="CU45">
        <v>101.5613337412</v>
      </c>
      <c r="CW45" t="s">
        <v>368</v>
      </c>
      <c r="CX45" t="s">
        <v>840</v>
      </c>
      <c r="CZ45">
        <v>1759</v>
      </c>
      <c r="DA45">
        <v>199</v>
      </c>
      <c r="DB45">
        <v>71.3075611143</v>
      </c>
      <c r="DC45">
        <v>4690</v>
      </c>
      <c r="DD45">
        <v>461</v>
      </c>
      <c r="DE45">
        <v>147.1825159915</v>
      </c>
      <c r="DF45">
        <v>120.2646420824</v>
      </c>
      <c r="DH45" t="s">
        <v>368</v>
      </c>
      <c r="DI45" t="s">
        <v>808</v>
      </c>
      <c r="DK45">
        <v>1939</v>
      </c>
      <c r="DL45">
        <v>184</v>
      </c>
      <c r="DM45">
        <v>64.790097988699998</v>
      </c>
      <c r="DN45">
        <v>6407</v>
      </c>
      <c r="DO45">
        <v>526</v>
      </c>
      <c r="DP45">
        <v>141.364913376</v>
      </c>
      <c r="DQ45">
        <v>124.4809885932</v>
      </c>
    </row>
    <row r="46" spans="2:121" x14ac:dyDescent="0.2">
      <c r="B46" t="s">
        <v>101</v>
      </c>
      <c r="C46">
        <v>133972</v>
      </c>
      <c r="D46">
        <v>84376</v>
      </c>
      <c r="F46" t="s">
        <v>39</v>
      </c>
      <c r="G46">
        <v>7484</v>
      </c>
      <c r="H46">
        <v>327.62359700690001</v>
      </c>
      <c r="I46">
        <v>9548</v>
      </c>
      <c r="J46">
        <v>2439</v>
      </c>
      <c r="K46">
        <v>14071</v>
      </c>
      <c r="L46">
        <v>8173</v>
      </c>
      <c r="M46">
        <v>2856</v>
      </c>
      <c r="N46">
        <v>2235</v>
      </c>
      <c r="O46">
        <v>1575</v>
      </c>
      <c r="P46">
        <v>1053</v>
      </c>
      <c r="Q46">
        <v>1</v>
      </c>
      <c r="R46">
        <v>59</v>
      </c>
      <c r="AH46" t="s">
        <v>419</v>
      </c>
      <c r="AI46">
        <v>355</v>
      </c>
      <c r="AJ46">
        <v>158.28450704229999</v>
      </c>
      <c r="AK46">
        <v>1043</v>
      </c>
      <c r="AL46">
        <v>256</v>
      </c>
      <c r="AM46">
        <v>1174</v>
      </c>
      <c r="AN46">
        <v>134</v>
      </c>
      <c r="AO46">
        <v>329</v>
      </c>
      <c r="AP46">
        <v>116</v>
      </c>
      <c r="AQ46">
        <v>169</v>
      </c>
      <c r="AR46">
        <v>95</v>
      </c>
      <c r="AS46">
        <v>3</v>
      </c>
      <c r="AT46">
        <v>0</v>
      </c>
      <c r="AV46" t="s">
        <v>378</v>
      </c>
      <c r="AW46">
        <v>288</v>
      </c>
      <c r="AX46">
        <v>109.1701388889</v>
      </c>
      <c r="AY46">
        <v>231</v>
      </c>
      <c r="AZ46">
        <v>39</v>
      </c>
      <c r="BA46">
        <v>371</v>
      </c>
      <c r="BB46">
        <v>127</v>
      </c>
      <c r="BC46">
        <v>0</v>
      </c>
      <c r="BE46">
        <v>16</v>
      </c>
      <c r="BF46">
        <v>5</v>
      </c>
      <c r="BG46">
        <v>60</v>
      </c>
      <c r="BH46">
        <v>71</v>
      </c>
      <c r="BJ46" t="s">
        <v>685</v>
      </c>
      <c r="BK46" t="s">
        <v>8</v>
      </c>
      <c r="BL46">
        <v>134</v>
      </c>
      <c r="BM46">
        <v>115</v>
      </c>
      <c r="BN46">
        <v>174.4029850746</v>
      </c>
      <c r="BO46">
        <v>569</v>
      </c>
      <c r="BP46">
        <v>18</v>
      </c>
      <c r="BQ46">
        <v>228.53251318100001</v>
      </c>
      <c r="BR46">
        <v>255.7777777778</v>
      </c>
      <c r="BS46">
        <v>212720</v>
      </c>
      <c r="BT46">
        <v>39251</v>
      </c>
      <c r="BU46">
        <v>86.034444339999993</v>
      </c>
      <c r="BV46">
        <v>15</v>
      </c>
      <c r="BW46">
        <v>2</v>
      </c>
      <c r="BX46">
        <v>146.13333333329999</v>
      </c>
      <c r="BY46">
        <v>114</v>
      </c>
      <c r="CA46" t="s">
        <v>8</v>
      </c>
      <c r="CB46" t="s">
        <v>685</v>
      </c>
      <c r="CC46" t="s">
        <v>685</v>
      </c>
      <c r="CD46">
        <v>3696</v>
      </c>
      <c r="CE46">
        <v>1277</v>
      </c>
      <c r="CF46">
        <v>117.60335497840001</v>
      </c>
      <c r="CG46">
        <v>7781</v>
      </c>
      <c r="CH46">
        <v>907</v>
      </c>
      <c r="CI46">
        <v>170.77560724840001</v>
      </c>
      <c r="CJ46">
        <v>173.02646085999999</v>
      </c>
      <c r="CL46" t="s">
        <v>8</v>
      </c>
      <c r="CM46" t="s">
        <v>857</v>
      </c>
      <c r="CN46" t="s">
        <v>857</v>
      </c>
      <c r="CO46">
        <v>221</v>
      </c>
      <c r="CP46">
        <v>42</v>
      </c>
      <c r="CQ46">
        <v>87.212669683300007</v>
      </c>
      <c r="CR46">
        <v>748</v>
      </c>
      <c r="CS46">
        <v>85</v>
      </c>
      <c r="CT46">
        <v>99.419786096300001</v>
      </c>
      <c r="CU46">
        <v>122.8588235294</v>
      </c>
      <c r="CW46" t="s">
        <v>8</v>
      </c>
      <c r="CX46" t="s">
        <v>858</v>
      </c>
      <c r="CY46" t="s">
        <v>858</v>
      </c>
      <c r="CZ46">
        <v>36</v>
      </c>
      <c r="DA46">
        <v>5</v>
      </c>
      <c r="DB46">
        <v>65.472222222200003</v>
      </c>
      <c r="DC46">
        <v>51</v>
      </c>
      <c r="DD46">
        <v>4</v>
      </c>
      <c r="DE46">
        <v>139.7450980392</v>
      </c>
      <c r="DF46">
        <v>89.25</v>
      </c>
      <c r="DH46" t="s">
        <v>8</v>
      </c>
      <c r="DI46" t="s">
        <v>856</v>
      </c>
      <c r="DJ46" t="s">
        <v>856</v>
      </c>
      <c r="DK46">
        <v>76</v>
      </c>
      <c r="DL46">
        <v>8</v>
      </c>
      <c r="DM46">
        <v>69.026315789500003</v>
      </c>
      <c r="DN46">
        <v>138</v>
      </c>
      <c r="DO46">
        <v>13</v>
      </c>
      <c r="DP46">
        <v>115.02173913039999</v>
      </c>
      <c r="DQ46">
        <v>98.846153846199996</v>
      </c>
    </row>
    <row r="47" spans="2:121" x14ac:dyDescent="0.2">
      <c r="B47" t="s">
        <v>125</v>
      </c>
      <c r="C47">
        <v>35783</v>
      </c>
      <c r="D47">
        <v>7942</v>
      </c>
      <c r="F47" t="s">
        <v>79</v>
      </c>
      <c r="G47">
        <v>9827</v>
      </c>
      <c r="H47">
        <v>296.75414673860001</v>
      </c>
      <c r="I47">
        <v>17090</v>
      </c>
      <c r="J47">
        <v>2913</v>
      </c>
      <c r="K47">
        <v>16607</v>
      </c>
      <c r="L47">
        <v>6865</v>
      </c>
      <c r="M47">
        <v>3506</v>
      </c>
      <c r="N47">
        <v>2240</v>
      </c>
      <c r="O47">
        <v>8482</v>
      </c>
      <c r="P47">
        <v>4025</v>
      </c>
      <c r="Q47">
        <v>3</v>
      </c>
      <c r="R47">
        <v>198</v>
      </c>
      <c r="AH47" t="s">
        <v>383</v>
      </c>
      <c r="AI47">
        <v>4136</v>
      </c>
      <c r="AJ47">
        <v>287.28578336560003</v>
      </c>
      <c r="AK47">
        <v>9421</v>
      </c>
      <c r="AL47">
        <v>1599</v>
      </c>
      <c r="AM47">
        <v>9336</v>
      </c>
      <c r="AN47">
        <v>3641</v>
      </c>
      <c r="AO47">
        <v>2792</v>
      </c>
      <c r="AP47">
        <v>2218</v>
      </c>
      <c r="AQ47">
        <v>3146</v>
      </c>
      <c r="AR47">
        <v>2118</v>
      </c>
      <c r="AS47">
        <v>796</v>
      </c>
      <c r="AT47">
        <v>288</v>
      </c>
      <c r="AV47" t="s">
        <v>423</v>
      </c>
      <c r="AW47">
        <v>14</v>
      </c>
      <c r="AX47">
        <v>53.428571428600002</v>
      </c>
      <c r="AY47">
        <v>14</v>
      </c>
      <c r="AZ47">
        <v>1</v>
      </c>
      <c r="BA47">
        <v>27</v>
      </c>
      <c r="BB47">
        <v>1</v>
      </c>
      <c r="BC47">
        <v>0</v>
      </c>
      <c r="BE47">
        <v>2</v>
      </c>
      <c r="BF47">
        <v>1</v>
      </c>
      <c r="BG47">
        <v>41</v>
      </c>
      <c r="BH47">
        <v>13</v>
      </c>
      <c r="BJ47" t="s">
        <v>585</v>
      </c>
      <c r="BK47" t="s">
        <v>403</v>
      </c>
      <c r="BL47">
        <v>2956</v>
      </c>
      <c r="BM47">
        <v>622</v>
      </c>
      <c r="BN47">
        <v>89.547361299100004</v>
      </c>
      <c r="BO47">
        <v>7533</v>
      </c>
      <c r="BP47">
        <v>631</v>
      </c>
      <c r="BQ47">
        <v>133.8932696137</v>
      </c>
      <c r="BR47">
        <v>123.6719492868</v>
      </c>
      <c r="BS47">
        <v>830</v>
      </c>
      <c r="BT47">
        <v>280</v>
      </c>
      <c r="BU47">
        <v>109.54096385539999</v>
      </c>
      <c r="BV47">
        <v>7777</v>
      </c>
      <c r="BW47">
        <v>1008</v>
      </c>
      <c r="BX47">
        <v>131.41121254980001</v>
      </c>
      <c r="BY47">
        <v>123.32738095240001</v>
      </c>
      <c r="CA47" t="s">
        <v>8</v>
      </c>
      <c r="CB47" t="s">
        <v>685</v>
      </c>
      <c r="CC47" t="s">
        <v>685</v>
      </c>
      <c r="CD47">
        <v>3696</v>
      </c>
      <c r="CE47">
        <v>1277</v>
      </c>
      <c r="CF47">
        <v>117.60335497840001</v>
      </c>
      <c r="CG47">
        <v>7781</v>
      </c>
      <c r="CH47">
        <v>907</v>
      </c>
      <c r="CI47">
        <v>170.77560724840001</v>
      </c>
      <c r="CJ47">
        <v>173.02646085999999</v>
      </c>
      <c r="CL47" t="s">
        <v>8</v>
      </c>
      <c r="CM47" t="s">
        <v>857</v>
      </c>
      <c r="CN47" t="s">
        <v>857</v>
      </c>
      <c r="CO47">
        <v>221</v>
      </c>
      <c r="CP47">
        <v>42</v>
      </c>
      <c r="CQ47">
        <v>87.212669683300007</v>
      </c>
      <c r="CR47">
        <v>748</v>
      </c>
      <c r="CS47">
        <v>85</v>
      </c>
      <c r="CT47">
        <v>99.419786096300001</v>
      </c>
      <c r="CU47">
        <v>122.8588235294</v>
      </c>
      <c r="CW47" t="s">
        <v>8</v>
      </c>
      <c r="CX47" t="s">
        <v>858</v>
      </c>
      <c r="CY47" t="s">
        <v>858</v>
      </c>
      <c r="CZ47">
        <v>36</v>
      </c>
      <c r="DA47">
        <v>5</v>
      </c>
      <c r="DB47">
        <v>65.472222222200003</v>
      </c>
      <c r="DC47">
        <v>51</v>
      </c>
      <c r="DD47">
        <v>4</v>
      </c>
      <c r="DE47">
        <v>139.7450980392</v>
      </c>
      <c r="DF47">
        <v>89.25</v>
      </c>
      <c r="DH47" t="s">
        <v>8</v>
      </c>
      <c r="DI47" t="s">
        <v>856</v>
      </c>
      <c r="DJ47" t="s">
        <v>856</v>
      </c>
      <c r="DK47">
        <v>76</v>
      </c>
      <c r="DL47">
        <v>8</v>
      </c>
      <c r="DM47">
        <v>69.026315789500003</v>
      </c>
      <c r="DN47">
        <v>138</v>
      </c>
      <c r="DO47">
        <v>13</v>
      </c>
      <c r="DP47">
        <v>115.02173913039999</v>
      </c>
      <c r="DQ47">
        <v>98.846153846199996</v>
      </c>
    </row>
    <row r="48" spans="2:121" x14ac:dyDescent="0.2">
      <c r="B48" t="s">
        <v>104</v>
      </c>
      <c r="C48">
        <v>34570</v>
      </c>
      <c r="D48">
        <v>24119</v>
      </c>
      <c r="F48" t="s">
        <v>57</v>
      </c>
      <c r="G48">
        <v>10034</v>
      </c>
      <c r="H48">
        <v>349.75154474790003</v>
      </c>
      <c r="I48">
        <v>7569</v>
      </c>
      <c r="J48">
        <v>1873</v>
      </c>
      <c r="K48">
        <v>13952</v>
      </c>
      <c r="L48">
        <v>8120</v>
      </c>
      <c r="M48">
        <v>4096</v>
      </c>
      <c r="N48">
        <v>3737</v>
      </c>
      <c r="O48">
        <v>1655</v>
      </c>
      <c r="P48">
        <v>624</v>
      </c>
      <c r="Q48">
        <v>1</v>
      </c>
      <c r="R48">
        <v>415</v>
      </c>
      <c r="AH48" t="s">
        <v>409</v>
      </c>
      <c r="AI48">
        <v>22223</v>
      </c>
      <c r="AJ48">
        <v>328.63105791300001</v>
      </c>
      <c r="AK48">
        <v>37005</v>
      </c>
      <c r="AL48">
        <v>7380</v>
      </c>
      <c r="AM48">
        <v>41186</v>
      </c>
      <c r="AN48">
        <v>19424</v>
      </c>
      <c r="AO48">
        <v>9504</v>
      </c>
      <c r="AP48">
        <v>6903</v>
      </c>
      <c r="AQ48">
        <v>19266</v>
      </c>
      <c r="AR48">
        <v>11312</v>
      </c>
      <c r="AS48">
        <v>24</v>
      </c>
      <c r="AT48">
        <v>443</v>
      </c>
      <c r="AV48" t="s">
        <v>380</v>
      </c>
      <c r="AW48">
        <v>1269</v>
      </c>
      <c r="AX48">
        <v>105.2616233255</v>
      </c>
      <c r="AY48">
        <v>1545</v>
      </c>
      <c r="AZ48">
        <v>271</v>
      </c>
      <c r="BA48">
        <v>1726</v>
      </c>
      <c r="BB48">
        <v>633</v>
      </c>
      <c r="BC48">
        <v>2</v>
      </c>
      <c r="BD48">
        <v>2</v>
      </c>
      <c r="BE48">
        <v>71</v>
      </c>
      <c r="BF48">
        <v>23</v>
      </c>
      <c r="BG48">
        <v>222</v>
      </c>
      <c r="BH48">
        <v>390</v>
      </c>
      <c r="BJ48" t="s">
        <v>644</v>
      </c>
      <c r="BK48" t="s">
        <v>403</v>
      </c>
      <c r="BL48">
        <v>1120</v>
      </c>
      <c r="BM48">
        <v>288</v>
      </c>
      <c r="BN48">
        <v>96.878571428599997</v>
      </c>
      <c r="BO48">
        <v>2715</v>
      </c>
      <c r="BP48">
        <v>312</v>
      </c>
      <c r="BQ48">
        <v>139.44677716390001</v>
      </c>
      <c r="BR48">
        <v>135.18269230769999</v>
      </c>
      <c r="BS48">
        <v>347</v>
      </c>
      <c r="BT48">
        <v>148</v>
      </c>
      <c r="BU48">
        <v>115.9567723343</v>
      </c>
      <c r="BV48">
        <v>2192</v>
      </c>
      <c r="BW48">
        <v>175</v>
      </c>
      <c r="BX48">
        <v>148.57481751820001</v>
      </c>
      <c r="BY48">
        <v>157.78285714290001</v>
      </c>
      <c r="CA48" t="s">
        <v>8</v>
      </c>
      <c r="CB48" t="s">
        <v>685</v>
      </c>
      <c r="CC48" t="s">
        <v>685</v>
      </c>
      <c r="CD48">
        <v>3696</v>
      </c>
      <c r="CE48">
        <v>1277</v>
      </c>
      <c r="CF48">
        <v>117.60335497840001</v>
      </c>
      <c r="CG48">
        <v>7781</v>
      </c>
      <c r="CH48">
        <v>907</v>
      </c>
      <c r="CI48">
        <v>170.77560724840001</v>
      </c>
      <c r="CJ48">
        <v>173.02646085999999</v>
      </c>
      <c r="CL48" t="s">
        <v>8</v>
      </c>
      <c r="CM48" t="s">
        <v>857</v>
      </c>
      <c r="CN48" t="s">
        <v>857</v>
      </c>
      <c r="CO48">
        <v>221</v>
      </c>
      <c r="CP48">
        <v>42</v>
      </c>
      <c r="CQ48">
        <v>87.212669683300007</v>
      </c>
      <c r="CR48">
        <v>748</v>
      </c>
      <c r="CS48">
        <v>85</v>
      </c>
      <c r="CT48">
        <v>99.419786096300001</v>
      </c>
      <c r="CU48">
        <v>122.8588235294</v>
      </c>
      <c r="CW48" t="s">
        <v>8</v>
      </c>
      <c r="CX48" t="s">
        <v>858</v>
      </c>
      <c r="CY48" t="s">
        <v>858</v>
      </c>
      <c r="CZ48">
        <v>36</v>
      </c>
      <c r="DA48">
        <v>5</v>
      </c>
      <c r="DB48">
        <v>65.472222222200003</v>
      </c>
      <c r="DC48">
        <v>51</v>
      </c>
      <c r="DD48">
        <v>4</v>
      </c>
      <c r="DE48">
        <v>139.7450980392</v>
      </c>
      <c r="DF48">
        <v>89.25</v>
      </c>
      <c r="DH48" t="s">
        <v>8</v>
      </c>
      <c r="DI48" t="s">
        <v>856</v>
      </c>
      <c r="DJ48" t="s">
        <v>856</v>
      </c>
      <c r="DK48">
        <v>76</v>
      </c>
      <c r="DL48">
        <v>8</v>
      </c>
      <c r="DM48">
        <v>69.026315789500003</v>
      </c>
      <c r="DN48">
        <v>138</v>
      </c>
      <c r="DO48">
        <v>13</v>
      </c>
      <c r="DP48">
        <v>115.02173913039999</v>
      </c>
      <c r="DQ48">
        <v>98.846153846199996</v>
      </c>
    </row>
    <row r="49" spans="2:121" x14ac:dyDescent="0.2">
      <c r="B49" t="s">
        <v>120</v>
      </c>
      <c r="C49">
        <v>189</v>
      </c>
      <c r="D49">
        <v>189</v>
      </c>
      <c r="F49" t="s">
        <v>35</v>
      </c>
      <c r="G49">
        <v>3269</v>
      </c>
      <c r="H49">
        <v>613.36371979199998</v>
      </c>
      <c r="I49">
        <v>3236</v>
      </c>
      <c r="J49">
        <v>647</v>
      </c>
      <c r="K49">
        <v>6586</v>
      </c>
      <c r="L49">
        <v>3551</v>
      </c>
      <c r="M49">
        <v>2504</v>
      </c>
      <c r="N49">
        <v>2026</v>
      </c>
      <c r="O49">
        <v>543</v>
      </c>
      <c r="P49">
        <v>476</v>
      </c>
      <c r="Q49">
        <v>0</v>
      </c>
      <c r="R49">
        <v>3</v>
      </c>
      <c r="AH49" t="s">
        <v>405</v>
      </c>
      <c r="AI49">
        <v>733</v>
      </c>
      <c r="AJ49">
        <v>232.05593451569999</v>
      </c>
      <c r="AK49">
        <v>1891</v>
      </c>
      <c r="AL49">
        <v>458</v>
      </c>
      <c r="AM49">
        <v>2023</v>
      </c>
      <c r="AN49">
        <v>489</v>
      </c>
      <c r="AO49">
        <v>560</v>
      </c>
      <c r="AP49">
        <v>288</v>
      </c>
      <c r="AQ49">
        <v>592</v>
      </c>
      <c r="AR49">
        <v>317</v>
      </c>
      <c r="AS49">
        <v>1</v>
      </c>
      <c r="AT49">
        <v>4</v>
      </c>
      <c r="AV49" t="s">
        <v>391</v>
      </c>
      <c r="AW49">
        <v>261</v>
      </c>
      <c r="AX49">
        <v>64.107279693500004</v>
      </c>
      <c r="AY49">
        <v>596</v>
      </c>
      <c r="AZ49">
        <v>73</v>
      </c>
      <c r="BA49">
        <v>465</v>
      </c>
      <c r="BB49">
        <v>43</v>
      </c>
      <c r="BC49">
        <v>2</v>
      </c>
      <c r="BD49">
        <v>2</v>
      </c>
      <c r="BE49">
        <v>43</v>
      </c>
      <c r="BF49">
        <v>14</v>
      </c>
      <c r="BG49">
        <v>63</v>
      </c>
      <c r="BH49">
        <v>82</v>
      </c>
      <c r="BJ49" t="s">
        <v>600</v>
      </c>
      <c r="BK49" t="s">
        <v>403</v>
      </c>
      <c r="BL49">
        <v>1740</v>
      </c>
      <c r="BM49">
        <v>449</v>
      </c>
      <c r="BN49">
        <v>95.295402298900001</v>
      </c>
      <c r="BO49">
        <v>3860</v>
      </c>
      <c r="BP49">
        <v>358</v>
      </c>
      <c r="BQ49">
        <v>116.4012953368</v>
      </c>
      <c r="BR49">
        <v>137.4916201117</v>
      </c>
      <c r="BS49">
        <v>1087</v>
      </c>
      <c r="BT49">
        <v>304</v>
      </c>
      <c r="BU49">
        <v>100.6338546458</v>
      </c>
      <c r="BV49">
        <v>5295</v>
      </c>
      <c r="BW49">
        <v>619</v>
      </c>
      <c r="BX49">
        <v>118.208687441</v>
      </c>
      <c r="BY49">
        <v>127.4862681745</v>
      </c>
      <c r="CA49" t="s">
        <v>8</v>
      </c>
      <c r="CB49" t="s">
        <v>685</v>
      </c>
      <c r="CD49">
        <v>3696</v>
      </c>
      <c r="CE49">
        <v>1277</v>
      </c>
      <c r="CF49">
        <v>117.60335497840001</v>
      </c>
      <c r="CG49">
        <v>7781</v>
      </c>
      <c r="CH49">
        <v>907</v>
      </c>
      <c r="CI49">
        <v>170.77560724840001</v>
      </c>
      <c r="CJ49">
        <v>173.02646085999999</v>
      </c>
      <c r="CL49" t="s">
        <v>8</v>
      </c>
      <c r="CM49" t="s">
        <v>857</v>
      </c>
      <c r="CO49">
        <v>221</v>
      </c>
      <c r="CP49">
        <v>42</v>
      </c>
      <c r="CQ49">
        <v>87.212669683300007</v>
      </c>
      <c r="CR49">
        <v>748</v>
      </c>
      <c r="CS49">
        <v>85</v>
      </c>
      <c r="CT49">
        <v>99.419786096300001</v>
      </c>
      <c r="CU49">
        <v>122.8588235294</v>
      </c>
      <c r="CW49" t="s">
        <v>8</v>
      </c>
      <c r="CX49" t="s">
        <v>858</v>
      </c>
      <c r="CZ49">
        <v>36</v>
      </c>
      <c r="DA49">
        <v>5</v>
      </c>
      <c r="DB49">
        <v>65.472222222200003</v>
      </c>
      <c r="DC49">
        <v>51</v>
      </c>
      <c r="DD49">
        <v>4</v>
      </c>
      <c r="DE49">
        <v>139.7450980392</v>
      </c>
      <c r="DF49">
        <v>89.25</v>
      </c>
      <c r="DH49" t="s">
        <v>8</v>
      </c>
      <c r="DI49" t="s">
        <v>856</v>
      </c>
      <c r="DK49">
        <v>76</v>
      </c>
      <c r="DL49">
        <v>8</v>
      </c>
      <c r="DM49">
        <v>69.026315789500003</v>
      </c>
      <c r="DN49">
        <v>138</v>
      </c>
      <c r="DO49">
        <v>13</v>
      </c>
      <c r="DP49">
        <v>115.02173913039999</v>
      </c>
      <c r="DQ49">
        <v>98.846153846199996</v>
      </c>
    </row>
    <row r="50" spans="2:121" x14ac:dyDescent="0.2">
      <c r="B50" t="s">
        <v>124</v>
      </c>
      <c r="C50">
        <v>241</v>
      </c>
      <c r="D50">
        <v>94</v>
      </c>
      <c r="F50" t="s">
        <v>34</v>
      </c>
      <c r="G50">
        <v>313</v>
      </c>
      <c r="H50">
        <v>73.587859424900003</v>
      </c>
      <c r="I50">
        <v>1723</v>
      </c>
      <c r="J50">
        <v>445</v>
      </c>
      <c r="K50">
        <v>1156</v>
      </c>
      <c r="L50">
        <v>83</v>
      </c>
      <c r="M50">
        <v>133</v>
      </c>
      <c r="N50">
        <v>30</v>
      </c>
      <c r="O50">
        <v>129</v>
      </c>
      <c r="P50">
        <v>76</v>
      </c>
      <c r="Q50">
        <v>0</v>
      </c>
      <c r="R50">
        <v>5</v>
      </c>
      <c r="AH50" t="s">
        <v>416</v>
      </c>
      <c r="AI50">
        <v>413</v>
      </c>
      <c r="AJ50">
        <v>336.11622276029999</v>
      </c>
      <c r="AK50">
        <v>517</v>
      </c>
      <c r="AL50">
        <v>123</v>
      </c>
      <c r="AM50">
        <v>1055</v>
      </c>
      <c r="AN50">
        <v>413</v>
      </c>
      <c r="AO50">
        <v>239</v>
      </c>
      <c r="AP50">
        <v>184</v>
      </c>
      <c r="AQ50">
        <v>183</v>
      </c>
      <c r="AR50">
        <v>103</v>
      </c>
      <c r="AS50">
        <v>78</v>
      </c>
      <c r="AT50">
        <v>2</v>
      </c>
      <c r="AV50" t="s">
        <v>400</v>
      </c>
      <c r="AW50">
        <v>232</v>
      </c>
      <c r="AX50">
        <v>66.681034482800001</v>
      </c>
      <c r="AY50">
        <v>257</v>
      </c>
      <c r="AZ50">
        <v>5</v>
      </c>
      <c r="BA50">
        <v>337</v>
      </c>
      <c r="BB50">
        <v>35</v>
      </c>
      <c r="BC50">
        <v>1</v>
      </c>
      <c r="BD50">
        <v>1</v>
      </c>
      <c r="BE50">
        <v>18</v>
      </c>
      <c r="BF50">
        <v>5</v>
      </c>
      <c r="BG50">
        <v>852</v>
      </c>
      <c r="BH50">
        <v>69</v>
      </c>
      <c r="BJ50" t="s">
        <v>640</v>
      </c>
      <c r="BK50" t="s">
        <v>403</v>
      </c>
      <c r="BL50">
        <v>2434</v>
      </c>
      <c r="BM50">
        <v>362</v>
      </c>
      <c r="BN50">
        <v>77.828266228399997</v>
      </c>
      <c r="BO50">
        <v>5925</v>
      </c>
      <c r="BP50">
        <v>535</v>
      </c>
      <c r="BQ50">
        <v>125.5535864979</v>
      </c>
      <c r="BR50">
        <v>120.7514018692</v>
      </c>
      <c r="BS50">
        <v>632</v>
      </c>
      <c r="BT50">
        <v>178</v>
      </c>
      <c r="BU50">
        <v>99.544303797500007</v>
      </c>
      <c r="BV50">
        <v>5600</v>
      </c>
      <c r="BW50">
        <v>624</v>
      </c>
      <c r="BX50">
        <v>123.3389285714</v>
      </c>
      <c r="BY50">
        <v>135.08814102560001</v>
      </c>
      <c r="CA50" t="s">
        <v>423</v>
      </c>
      <c r="CB50" t="s">
        <v>889</v>
      </c>
      <c r="CC50" t="s">
        <v>1013</v>
      </c>
      <c r="CD50">
        <v>1128</v>
      </c>
      <c r="CE50">
        <v>279</v>
      </c>
      <c r="CF50">
        <v>94.421099290800001</v>
      </c>
      <c r="CG50">
        <v>3357</v>
      </c>
      <c r="CH50">
        <v>375</v>
      </c>
      <c r="CI50">
        <v>114.1986893059</v>
      </c>
      <c r="CJ50">
        <v>119.5893333333</v>
      </c>
      <c r="CL50" t="s">
        <v>423</v>
      </c>
      <c r="CM50" t="s">
        <v>870</v>
      </c>
      <c r="CN50" t="s">
        <v>869</v>
      </c>
      <c r="CO50">
        <v>36</v>
      </c>
      <c r="CP50">
        <v>5</v>
      </c>
      <c r="CQ50">
        <v>75.194444444400006</v>
      </c>
      <c r="CR50">
        <v>171</v>
      </c>
      <c r="CS50">
        <v>18</v>
      </c>
      <c r="CT50">
        <v>74.649122806999998</v>
      </c>
      <c r="CU50">
        <v>92.888888888899999</v>
      </c>
      <c r="CW50" t="s">
        <v>423</v>
      </c>
      <c r="CX50" t="s">
        <v>880</v>
      </c>
      <c r="CY50" t="s">
        <v>879</v>
      </c>
      <c r="CZ50">
        <v>24</v>
      </c>
      <c r="DA50">
        <v>1</v>
      </c>
      <c r="DB50">
        <v>55.75</v>
      </c>
      <c r="DC50">
        <v>54</v>
      </c>
      <c r="DD50">
        <v>7</v>
      </c>
      <c r="DE50">
        <v>120.6666666667</v>
      </c>
      <c r="DF50">
        <v>97</v>
      </c>
      <c r="DH50" t="s">
        <v>423</v>
      </c>
      <c r="DI50" t="s">
        <v>860</v>
      </c>
      <c r="DJ50" t="s">
        <v>859</v>
      </c>
      <c r="DK50">
        <v>23</v>
      </c>
      <c r="DL50">
        <v>4</v>
      </c>
      <c r="DM50">
        <v>82.304347826099999</v>
      </c>
      <c r="DN50">
        <v>94</v>
      </c>
      <c r="DO50">
        <v>8</v>
      </c>
      <c r="DP50">
        <v>123.3936170213</v>
      </c>
      <c r="DQ50">
        <v>129</v>
      </c>
    </row>
    <row r="51" spans="2:121" x14ac:dyDescent="0.2">
      <c r="B51" t="s">
        <v>103</v>
      </c>
      <c r="C51">
        <v>24</v>
      </c>
      <c r="D51">
        <v>22</v>
      </c>
      <c r="F51" t="s">
        <v>46</v>
      </c>
      <c r="G51">
        <v>9794</v>
      </c>
      <c r="H51">
        <v>369.03338778839998</v>
      </c>
      <c r="I51">
        <v>17379</v>
      </c>
      <c r="J51">
        <v>4090</v>
      </c>
      <c r="K51">
        <v>17795</v>
      </c>
      <c r="L51">
        <v>9718</v>
      </c>
      <c r="M51">
        <v>3626</v>
      </c>
      <c r="N51">
        <v>2948</v>
      </c>
      <c r="O51">
        <v>3359</v>
      </c>
      <c r="P51">
        <v>2760</v>
      </c>
      <c r="Q51">
        <v>1</v>
      </c>
      <c r="R51">
        <v>252</v>
      </c>
      <c r="AH51" t="s">
        <v>377</v>
      </c>
      <c r="AI51">
        <v>15318</v>
      </c>
      <c r="AJ51">
        <v>333.21667319490001</v>
      </c>
      <c r="AK51">
        <v>12230</v>
      </c>
      <c r="AL51">
        <v>2148</v>
      </c>
      <c r="AM51">
        <v>23089</v>
      </c>
      <c r="AN51">
        <v>11538</v>
      </c>
      <c r="AO51">
        <v>8525</v>
      </c>
      <c r="AP51">
        <v>6727</v>
      </c>
      <c r="AQ51">
        <v>7931</v>
      </c>
      <c r="AR51">
        <v>6049</v>
      </c>
      <c r="AS51">
        <v>1098</v>
      </c>
      <c r="AT51">
        <v>21</v>
      </c>
      <c r="AV51" t="s">
        <v>392</v>
      </c>
      <c r="AW51">
        <v>229</v>
      </c>
      <c r="AX51">
        <v>69.978165938900005</v>
      </c>
      <c r="AY51">
        <v>432</v>
      </c>
      <c r="AZ51">
        <v>46</v>
      </c>
      <c r="BA51">
        <v>413</v>
      </c>
      <c r="BB51">
        <v>51</v>
      </c>
      <c r="BC51">
        <v>2</v>
      </c>
      <c r="BD51">
        <v>1</v>
      </c>
      <c r="BE51">
        <v>54</v>
      </c>
      <c r="BF51">
        <v>11</v>
      </c>
      <c r="BG51">
        <v>83</v>
      </c>
      <c r="BH51">
        <v>64</v>
      </c>
      <c r="BJ51" t="s">
        <v>592</v>
      </c>
      <c r="BK51" t="s">
        <v>403</v>
      </c>
      <c r="BL51">
        <v>10934</v>
      </c>
      <c r="BM51">
        <v>2137</v>
      </c>
      <c r="BN51">
        <v>86.168648253200004</v>
      </c>
      <c r="BO51">
        <v>24018</v>
      </c>
      <c r="BP51">
        <v>2547</v>
      </c>
      <c r="BQ51">
        <v>133.20297277040001</v>
      </c>
      <c r="BR51">
        <v>132.69886140560001</v>
      </c>
      <c r="BS51">
        <v>2672</v>
      </c>
      <c r="BT51">
        <v>769</v>
      </c>
      <c r="BU51">
        <v>100.48016467070001</v>
      </c>
      <c r="BV51">
        <v>19758</v>
      </c>
      <c r="BW51">
        <v>1954</v>
      </c>
      <c r="BX51">
        <v>125.9230185241</v>
      </c>
      <c r="BY51">
        <v>148.7661207779</v>
      </c>
      <c r="CA51" t="s">
        <v>425</v>
      </c>
      <c r="CB51" t="s">
        <v>889</v>
      </c>
      <c r="CC51" t="s">
        <v>1014</v>
      </c>
      <c r="CD51">
        <v>5562</v>
      </c>
      <c r="CE51">
        <v>917</v>
      </c>
      <c r="CF51">
        <v>83.681229773499993</v>
      </c>
      <c r="CG51">
        <v>17290</v>
      </c>
      <c r="CH51">
        <v>1400</v>
      </c>
      <c r="CI51">
        <v>122.95991902830001</v>
      </c>
      <c r="CJ51">
        <v>123.5592857143</v>
      </c>
      <c r="CL51" t="s">
        <v>425</v>
      </c>
      <c r="CM51" t="s">
        <v>870</v>
      </c>
      <c r="CN51" t="s">
        <v>871</v>
      </c>
      <c r="CO51">
        <v>516</v>
      </c>
      <c r="CP51">
        <v>44</v>
      </c>
      <c r="CQ51">
        <v>66.420542635700002</v>
      </c>
      <c r="CR51">
        <v>2870</v>
      </c>
      <c r="CS51">
        <v>282</v>
      </c>
      <c r="CT51">
        <v>68.207317073200002</v>
      </c>
      <c r="CU51">
        <v>69.620567375899995</v>
      </c>
      <c r="CW51" t="s">
        <v>425</v>
      </c>
      <c r="CX51" t="s">
        <v>880</v>
      </c>
      <c r="CY51" t="s">
        <v>881</v>
      </c>
      <c r="CZ51">
        <v>136</v>
      </c>
      <c r="DA51">
        <v>14</v>
      </c>
      <c r="DB51">
        <v>61.257352941199997</v>
      </c>
      <c r="DC51">
        <v>461</v>
      </c>
      <c r="DD51">
        <v>47</v>
      </c>
      <c r="DE51">
        <v>128.6442516269</v>
      </c>
      <c r="DF51">
        <v>108.8936170213</v>
      </c>
      <c r="DH51" t="s">
        <v>425</v>
      </c>
      <c r="DI51" t="s">
        <v>860</v>
      </c>
      <c r="DJ51" t="s">
        <v>861</v>
      </c>
      <c r="DK51">
        <v>92</v>
      </c>
      <c r="DL51">
        <v>10</v>
      </c>
      <c r="DM51">
        <v>71.989130434800003</v>
      </c>
      <c r="DN51">
        <v>348</v>
      </c>
      <c r="DO51">
        <v>28</v>
      </c>
      <c r="DP51">
        <v>125.9051724138</v>
      </c>
      <c r="DQ51">
        <v>123.57142857140001</v>
      </c>
    </row>
    <row r="52" spans="2:121" x14ac:dyDescent="0.2">
      <c r="B52" t="s">
        <v>1061</v>
      </c>
      <c r="C52">
        <v>1</v>
      </c>
      <c r="F52" t="s">
        <v>82</v>
      </c>
      <c r="G52">
        <v>508</v>
      </c>
      <c r="H52">
        <v>413.67716535429997</v>
      </c>
      <c r="I52">
        <v>827</v>
      </c>
      <c r="J52">
        <v>163</v>
      </c>
      <c r="K52">
        <v>842</v>
      </c>
      <c r="L52">
        <v>412</v>
      </c>
      <c r="M52">
        <v>48</v>
      </c>
      <c r="N52">
        <v>46</v>
      </c>
      <c r="O52">
        <v>88</v>
      </c>
      <c r="P52">
        <v>50</v>
      </c>
      <c r="Q52">
        <v>0</v>
      </c>
      <c r="R52">
        <v>0</v>
      </c>
      <c r="AH52" t="s">
        <v>80</v>
      </c>
      <c r="AI52">
        <v>8677</v>
      </c>
      <c r="AJ52">
        <v>381.60873573819998</v>
      </c>
      <c r="AK52">
        <v>7382</v>
      </c>
      <c r="AL52">
        <v>1358</v>
      </c>
      <c r="AM52">
        <v>15901</v>
      </c>
      <c r="AN52">
        <v>8918</v>
      </c>
      <c r="AO52">
        <v>4119</v>
      </c>
      <c r="AP52">
        <v>2826</v>
      </c>
      <c r="AQ52">
        <v>5939</v>
      </c>
      <c r="AR52">
        <v>4458</v>
      </c>
      <c r="AS52">
        <v>15</v>
      </c>
      <c r="AT52">
        <v>152</v>
      </c>
      <c r="AV52" t="s">
        <v>60</v>
      </c>
      <c r="AW52">
        <v>1065</v>
      </c>
      <c r="AX52">
        <v>101.3643192488</v>
      </c>
      <c r="AY52">
        <v>1953</v>
      </c>
      <c r="AZ52">
        <v>381</v>
      </c>
      <c r="BA52">
        <v>1533</v>
      </c>
      <c r="BB52">
        <v>435</v>
      </c>
      <c r="BC52">
        <v>4</v>
      </c>
      <c r="BD52">
        <v>4</v>
      </c>
      <c r="BE52">
        <v>46</v>
      </c>
      <c r="BF52">
        <v>21</v>
      </c>
      <c r="BG52">
        <v>199</v>
      </c>
      <c r="BH52">
        <v>278</v>
      </c>
      <c r="BJ52" t="s">
        <v>614</v>
      </c>
      <c r="BK52" t="s">
        <v>403</v>
      </c>
      <c r="BL52">
        <v>775</v>
      </c>
      <c r="BM52">
        <v>228</v>
      </c>
      <c r="BN52">
        <v>105.4490322581</v>
      </c>
      <c r="BO52">
        <v>2261</v>
      </c>
      <c r="BP52">
        <v>216</v>
      </c>
      <c r="BQ52">
        <v>130.7651481645</v>
      </c>
      <c r="BR52">
        <v>143.1712962963</v>
      </c>
      <c r="BS52">
        <v>769</v>
      </c>
      <c r="BT52">
        <v>272</v>
      </c>
      <c r="BU52">
        <v>125.4538361508</v>
      </c>
      <c r="BV52">
        <v>5003</v>
      </c>
      <c r="BW52">
        <v>545</v>
      </c>
      <c r="BX52">
        <v>153.4687187687</v>
      </c>
      <c r="BY52">
        <v>120.7137614679</v>
      </c>
      <c r="CA52" t="s">
        <v>406</v>
      </c>
      <c r="CB52" t="s">
        <v>889</v>
      </c>
      <c r="CC52" t="s">
        <v>1015</v>
      </c>
      <c r="CD52">
        <v>32483</v>
      </c>
      <c r="CE52">
        <v>6669</v>
      </c>
      <c r="CF52">
        <v>88.8783671459</v>
      </c>
      <c r="CG52">
        <v>77104</v>
      </c>
      <c r="CH52">
        <v>7331</v>
      </c>
      <c r="CI52">
        <v>131.03844158539999</v>
      </c>
      <c r="CJ52">
        <v>129.67357795660001</v>
      </c>
      <c r="CL52" t="s">
        <v>406</v>
      </c>
      <c r="CM52" t="s">
        <v>870</v>
      </c>
      <c r="CN52" t="s">
        <v>872</v>
      </c>
      <c r="CO52">
        <v>2109</v>
      </c>
      <c r="CP52">
        <v>158</v>
      </c>
      <c r="CQ52">
        <v>60.772403982900002</v>
      </c>
      <c r="CR52">
        <v>11418</v>
      </c>
      <c r="CS52">
        <v>1068</v>
      </c>
      <c r="CT52">
        <v>66.939393939400006</v>
      </c>
      <c r="CU52">
        <v>71.841760299599997</v>
      </c>
      <c r="CW52" t="s">
        <v>406</v>
      </c>
      <c r="CX52" t="s">
        <v>880</v>
      </c>
      <c r="CY52" t="s">
        <v>882</v>
      </c>
      <c r="CZ52">
        <v>1122</v>
      </c>
      <c r="DA52">
        <v>127</v>
      </c>
      <c r="DB52">
        <v>66.016042780700005</v>
      </c>
      <c r="DC52">
        <v>3092</v>
      </c>
      <c r="DD52">
        <v>262</v>
      </c>
      <c r="DE52">
        <v>127.9168822768</v>
      </c>
      <c r="DF52">
        <v>110.93129770989999</v>
      </c>
      <c r="DH52" t="s">
        <v>406</v>
      </c>
      <c r="DI52" t="s">
        <v>860</v>
      </c>
      <c r="DJ52" t="s">
        <v>862</v>
      </c>
      <c r="DK52">
        <v>659</v>
      </c>
      <c r="DL52">
        <v>69</v>
      </c>
      <c r="DM52">
        <v>67.028831562999997</v>
      </c>
      <c r="DN52">
        <v>1830</v>
      </c>
      <c r="DO52">
        <v>140</v>
      </c>
      <c r="DP52">
        <v>119.4147540984</v>
      </c>
      <c r="DQ52">
        <v>113.3928571429</v>
      </c>
    </row>
    <row r="53" spans="2:121" x14ac:dyDescent="0.2">
      <c r="F53" t="s">
        <v>47</v>
      </c>
      <c r="G53">
        <v>1912</v>
      </c>
      <c r="H53">
        <v>257.50366108790001</v>
      </c>
      <c r="I53">
        <v>2186</v>
      </c>
      <c r="J53">
        <v>401</v>
      </c>
      <c r="K53">
        <v>3539</v>
      </c>
      <c r="L53">
        <v>1855</v>
      </c>
      <c r="M53">
        <v>463</v>
      </c>
      <c r="N53">
        <v>373</v>
      </c>
      <c r="O53">
        <v>1315</v>
      </c>
      <c r="P53">
        <v>969</v>
      </c>
      <c r="Q53">
        <v>1</v>
      </c>
      <c r="R53">
        <v>4</v>
      </c>
      <c r="AH53" t="s">
        <v>378</v>
      </c>
      <c r="AI53">
        <v>1983</v>
      </c>
      <c r="AJ53">
        <v>288.19465456379999</v>
      </c>
      <c r="AK53">
        <v>2418</v>
      </c>
      <c r="AL53">
        <v>444</v>
      </c>
      <c r="AM53">
        <v>3526</v>
      </c>
      <c r="AN53">
        <v>1912</v>
      </c>
      <c r="AO53">
        <v>479</v>
      </c>
      <c r="AP53">
        <v>352</v>
      </c>
      <c r="AQ53">
        <v>1547</v>
      </c>
      <c r="AR53">
        <v>1069</v>
      </c>
      <c r="AS53">
        <v>383</v>
      </c>
      <c r="AT53">
        <v>6</v>
      </c>
      <c r="AV53" t="s">
        <v>410</v>
      </c>
      <c r="AW53">
        <v>226</v>
      </c>
      <c r="AX53">
        <v>68.314159291999999</v>
      </c>
      <c r="AY53">
        <v>277</v>
      </c>
      <c r="AZ53">
        <v>23</v>
      </c>
      <c r="BA53">
        <v>320</v>
      </c>
      <c r="BB53">
        <v>33</v>
      </c>
      <c r="BC53">
        <v>4</v>
      </c>
      <c r="BD53">
        <v>4</v>
      </c>
      <c r="BE53">
        <v>23</v>
      </c>
      <c r="BF53">
        <v>6</v>
      </c>
      <c r="BG53">
        <v>75</v>
      </c>
      <c r="BH53">
        <v>40</v>
      </c>
      <c r="BJ53" t="s">
        <v>590</v>
      </c>
      <c r="BK53" t="s">
        <v>403</v>
      </c>
      <c r="BL53">
        <v>11439</v>
      </c>
      <c r="BM53">
        <v>2867</v>
      </c>
      <c r="BN53">
        <v>99.675496109799994</v>
      </c>
      <c r="BO53">
        <v>25912</v>
      </c>
      <c r="BP53">
        <v>2593</v>
      </c>
      <c r="BQ53">
        <v>145.67983945660001</v>
      </c>
      <c r="BR53">
        <v>139.00655611260001</v>
      </c>
      <c r="BS53">
        <v>2863</v>
      </c>
      <c r="BT53">
        <v>825</v>
      </c>
      <c r="BU53">
        <v>106.4338106881</v>
      </c>
      <c r="BV53">
        <v>14886</v>
      </c>
      <c r="BW53">
        <v>1559</v>
      </c>
      <c r="BX53">
        <v>149.66989117290001</v>
      </c>
      <c r="BY53">
        <v>149.65683130209999</v>
      </c>
      <c r="CA53" t="s">
        <v>427</v>
      </c>
      <c r="CB53" t="s">
        <v>889</v>
      </c>
      <c r="CC53" t="s">
        <v>1016</v>
      </c>
      <c r="CD53">
        <v>1989</v>
      </c>
      <c r="CE53">
        <v>268</v>
      </c>
      <c r="CF53">
        <v>75.913021618900004</v>
      </c>
      <c r="CG53">
        <v>6051</v>
      </c>
      <c r="CH53">
        <v>548</v>
      </c>
      <c r="CI53">
        <v>108.0095851925</v>
      </c>
      <c r="CJ53">
        <v>103.4197080292</v>
      </c>
      <c r="CL53" t="s">
        <v>427</v>
      </c>
      <c r="CM53" t="s">
        <v>870</v>
      </c>
      <c r="CN53" t="s">
        <v>873</v>
      </c>
      <c r="CO53">
        <v>62</v>
      </c>
      <c r="CP53">
        <v>10</v>
      </c>
      <c r="CQ53">
        <v>84.967741935500001</v>
      </c>
      <c r="CR53">
        <v>353</v>
      </c>
      <c r="CS53">
        <v>35</v>
      </c>
      <c r="CT53">
        <v>71.450424929199997</v>
      </c>
      <c r="CU53">
        <v>65.085714285700007</v>
      </c>
      <c r="CW53" t="s">
        <v>427</v>
      </c>
      <c r="CX53" t="s">
        <v>880</v>
      </c>
      <c r="CY53" t="s">
        <v>883</v>
      </c>
      <c r="CZ53">
        <v>27</v>
      </c>
      <c r="DA53">
        <v>1</v>
      </c>
      <c r="DB53">
        <v>61</v>
      </c>
      <c r="DC53">
        <v>100</v>
      </c>
      <c r="DD53">
        <v>13</v>
      </c>
      <c r="DE53">
        <v>124.04</v>
      </c>
      <c r="DF53">
        <v>111.4615384615</v>
      </c>
      <c r="DH53" t="s">
        <v>427</v>
      </c>
      <c r="DI53" t="s">
        <v>860</v>
      </c>
      <c r="DJ53" t="s">
        <v>863</v>
      </c>
      <c r="DK53">
        <v>108</v>
      </c>
      <c r="DL53">
        <v>5</v>
      </c>
      <c r="DM53">
        <v>61.25</v>
      </c>
      <c r="DN53">
        <v>178</v>
      </c>
      <c r="DO53">
        <v>8</v>
      </c>
      <c r="DP53">
        <v>116.9269662921</v>
      </c>
      <c r="DQ53">
        <v>78.875</v>
      </c>
    </row>
    <row r="54" spans="2:121" x14ac:dyDescent="0.2">
      <c r="F54" t="s">
        <v>135</v>
      </c>
      <c r="G54">
        <v>485</v>
      </c>
      <c r="H54">
        <v>343.54020618560003</v>
      </c>
      <c r="I54">
        <v>496</v>
      </c>
      <c r="J54">
        <v>119</v>
      </c>
      <c r="K54">
        <v>1064</v>
      </c>
      <c r="L54">
        <v>438</v>
      </c>
      <c r="M54">
        <v>157</v>
      </c>
      <c r="N54">
        <v>125</v>
      </c>
      <c r="O54">
        <v>179</v>
      </c>
      <c r="P54">
        <v>101</v>
      </c>
      <c r="Q54">
        <v>0</v>
      </c>
      <c r="R54">
        <v>2</v>
      </c>
      <c r="AH54" t="s">
        <v>395</v>
      </c>
      <c r="AI54">
        <v>3053</v>
      </c>
      <c r="AJ54">
        <v>225.3039633148</v>
      </c>
      <c r="AK54">
        <v>4065</v>
      </c>
      <c r="AL54">
        <v>659</v>
      </c>
      <c r="AM54">
        <v>5915</v>
      </c>
      <c r="AN54">
        <v>2090</v>
      </c>
      <c r="AO54">
        <v>935</v>
      </c>
      <c r="AP54">
        <v>650</v>
      </c>
      <c r="AQ54">
        <v>1078</v>
      </c>
      <c r="AR54">
        <v>663</v>
      </c>
      <c r="AS54">
        <v>664</v>
      </c>
      <c r="AT54">
        <v>6</v>
      </c>
      <c r="AV54" t="s">
        <v>417</v>
      </c>
      <c r="AW54">
        <v>38</v>
      </c>
      <c r="AX54">
        <v>80.552631578900005</v>
      </c>
      <c r="AY54">
        <v>72</v>
      </c>
      <c r="AZ54">
        <v>5</v>
      </c>
      <c r="BA54">
        <v>77</v>
      </c>
      <c r="BB54">
        <v>9</v>
      </c>
      <c r="BC54">
        <v>0</v>
      </c>
      <c r="BE54">
        <v>2</v>
      </c>
      <c r="BF54">
        <v>1</v>
      </c>
      <c r="BG54">
        <v>134</v>
      </c>
      <c r="BH54">
        <v>22</v>
      </c>
      <c r="BJ54" t="s">
        <v>403</v>
      </c>
      <c r="BK54" t="s">
        <v>403</v>
      </c>
      <c r="BL54">
        <v>64276</v>
      </c>
      <c r="BM54">
        <v>12760</v>
      </c>
      <c r="BN54">
        <v>88.147286701100001</v>
      </c>
      <c r="BO54">
        <v>181766</v>
      </c>
      <c r="BP54">
        <v>17404</v>
      </c>
      <c r="BQ54">
        <v>114.7978279766</v>
      </c>
      <c r="BR54">
        <v>112.2802229373</v>
      </c>
      <c r="BS54">
        <v>22447</v>
      </c>
      <c r="BT54">
        <v>5812</v>
      </c>
      <c r="BU54">
        <v>98.7126119303</v>
      </c>
      <c r="BV54">
        <v>180624</v>
      </c>
      <c r="BW54">
        <v>19242</v>
      </c>
      <c r="BX54">
        <v>112.8629528745</v>
      </c>
      <c r="BY54">
        <v>110.995842428</v>
      </c>
      <c r="CA54" t="s">
        <v>407</v>
      </c>
      <c r="CB54" t="s">
        <v>889</v>
      </c>
      <c r="CC54" t="s">
        <v>1017</v>
      </c>
      <c r="CD54">
        <v>1817</v>
      </c>
      <c r="CE54">
        <v>463</v>
      </c>
      <c r="CF54">
        <v>94.900385250400006</v>
      </c>
      <c r="CG54">
        <v>4192</v>
      </c>
      <c r="CH54">
        <v>388</v>
      </c>
      <c r="CI54">
        <v>113.5553435115</v>
      </c>
      <c r="CJ54">
        <v>126.1597938144</v>
      </c>
      <c r="CL54" t="s">
        <v>407</v>
      </c>
      <c r="CM54" t="s">
        <v>870</v>
      </c>
      <c r="CN54" t="s">
        <v>874</v>
      </c>
      <c r="CO54">
        <v>127</v>
      </c>
      <c r="CP54">
        <v>9</v>
      </c>
      <c r="CQ54">
        <v>63.732283464600002</v>
      </c>
      <c r="CR54">
        <v>661</v>
      </c>
      <c r="CS54">
        <v>55</v>
      </c>
      <c r="CT54">
        <v>66.248108925899999</v>
      </c>
      <c r="CU54">
        <v>75.036363636399997</v>
      </c>
      <c r="CW54" t="s">
        <v>407</v>
      </c>
      <c r="CX54" t="s">
        <v>880</v>
      </c>
      <c r="CY54" t="s">
        <v>884</v>
      </c>
      <c r="CZ54">
        <v>34</v>
      </c>
      <c r="DA54">
        <v>5</v>
      </c>
      <c r="DB54">
        <v>72.352941176499996</v>
      </c>
      <c r="DC54">
        <v>83</v>
      </c>
      <c r="DD54">
        <v>7</v>
      </c>
      <c r="DE54">
        <v>137.8192771084</v>
      </c>
      <c r="DF54">
        <v>139.8571428571</v>
      </c>
      <c r="DH54" t="s">
        <v>407</v>
      </c>
      <c r="DI54" t="s">
        <v>860</v>
      </c>
      <c r="DJ54" t="s">
        <v>864</v>
      </c>
      <c r="DK54">
        <v>33</v>
      </c>
      <c r="DL54">
        <v>3</v>
      </c>
      <c r="DM54">
        <v>68.333333333300004</v>
      </c>
      <c r="DN54">
        <v>123</v>
      </c>
      <c r="DO54">
        <v>11</v>
      </c>
      <c r="DP54">
        <v>118.1869918699</v>
      </c>
      <c r="DQ54">
        <v>91</v>
      </c>
    </row>
    <row r="55" spans="2:121" x14ac:dyDescent="0.2">
      <c r="F55" t="s">
        <v>52</v>
      </c>
      <c r="G55">
        <v>6070</v>
      </c>
      <c r="H55">
        <v>446.29176276769999</v>
      </c>
      <c r="I55">
        <v>10812</v>
      </c>
      <c r="J55">
        <v>2052</v>
      </c>
      <c r="K55">
        <v>10590</v>
      </c>
      <c r="L55">
        <v>5455</v>
      </c>
      <c r="M55">
        <v>1005</v>
      </c>
      <c r="N55">
        <v>860</v>
      </c>
      <c r="O55">
        <v>3977</v>
      </c>
      <c r="P55">
        <v>3291</v>
      </c>
      <c r="Q55">
        <v>4</v>
      </c>
      <c r="R55">
        <v>35</v>
      </c>
      <c r="AH55" t="s">
        <v>420</v>
      </c>
      <c r="AI55">
        <v>300</v>
      </c>
      <c r="AJ55">
        <v>312.60666666669999</v>
      </c>
      <c r="AK55">
        <v>750</v>
      </c>
      <c r="AL55">
        <v>71</v>
      </c>
      <c r="AM55">
        <v>832</v>
      </c>
      <c r="AN55">
        <v>319</v>
      </c>
      <c r="AO55">
        <v>222</v>
      </c>
      <c r="AP55">
        <v>135</v>
      </c>
      <c r="AQ55">
        <v>190</v>
      </c>
      <c r="AR55">
        <v>117</v>
      </c>
      <c r="AS55">
        <v>2</v>
      </c>
      <c r="AT55">
        <v>1</v>
      </c>
      <c r="AV55" t="s">
        <v>415</v>
      </c>
      <c r="AW55">
        <v>115</v>
      </c>
      <c r="AX55">
        <v>99.643478260899997</v>
      </c>
      <c r="AY55">
        <v>135</v>
      </c>
      <c r="AZ55">
        <v>23</v>
      </c>
      <c r="BA55">
        <v>162</v>
      </c>
      <c r="BB55">
        <v>46</v>
      </c>
      <c r="BC55">
        <v>1</v>
      </c>
      <c r="BD55">
        <v>1</v>
      </c>
      <c r="BE55">
        <v>10</v>
      </c>
      <c r="BF55">
        <v>5</v>
      </c>
      <c r="BG55">
        <v>24</v>
      </c>
      <c r="BH55">
        <v>23</v>
      </c>
      <c r="BJ55" t="s">
        <v>594</v>
      </c>
      <c r="BK55" t="s">
        <v>403</v>
      </c>
      <c r="BL55">
        <v>5120</v>
      </c>
      <c r="BM55">
        <v>683</v>
      </c>
      <c r="BN55">
        <v>78.95</v>
      </c>
      <c r="BO55">
        <v>13273</v>
      </c>
      <c r="BP55">
        <v>1183</v>
      </c>
      <c r="BQ55">
        <v>124.97619227</v>
      </c>
      <c r="BR55">
        <v>121.54184277260001</v>
      </c>
      <c r="BS55">
        <v>3194</v>
      </c>
      <c r="BT55">
        <v>742</v>
      </c>
      <c r="BU55">
        <v>95.482154038800005</v>
      </c>
      <c r="BV55">
        <v>21441</v>
      </c>
      <c r="BW55">
        <v>2895</v>
      </c>
      <c r="BX55">
        <v>124.9207126533</v>
      </c>
      <c r="BY55">
        <v>107.36856649400001</v>
      </c>
      <c r="CA55" t="s">
        <v>412</v>
      </c>
      <c r="CB55" t="s">
        <v>889</v>
      </c>
      <c r="CC55" t="s">
        <v>1018</v>
      </c>
      <c r="CD55">
        <v>4104</v>
      </c>
      <c r="CE55">
        <v>987</v>
      </c>
      <c r="CF55">
        <v>94.663742690099994</v>
      </c>
      <c r="CG55">
        <v>9734</v>
      </c>
      <c r="CH55">
        <v>1117</v>
      </c>
      <c r="CI55">
        <v>137.22313540170001</v>
      </c>
      <c r="CJ55">
        <v>132.76096687559999</v>
      </c>
      <c r="CL55" t="s">
        <v>412</v>
      </c>
      <c r="CM55" t="s">
        <v>870</v>
      </c>
      <c r="CN55" t="s">
        <v>875</v>
      </c>
      <c r="CO55">
        <v>212</v>
      </c>
      <c r="CP55">
        <v>20</v>
      </c>
      <c r="CQ55">
        <v>64.3018867925</v>
      </c>
      <c r="CR55">
        <v>1258</v>
      </c>
      <c r="CS55">
        <v>130</v>
      </c>
      <c r="CT55">
        <v>68.203497615299995</v>
      </c>
      <c r="CU55">
        <v>71.230769230799993</v>
      </c>
      <c r="CW55" t="s">
        <v>412</v>
      </c>
      <c r="CX55" t="s">
        <v>880</v>
      </c>
      <c r="CY55" t="s">
        <v>885</v>
      </c>
      <c r="CZ55">
        <v>69</v>
      </c>
      <c r="DA55">
        <v>4</v>
      </c>
      <c r="DB55">
        <v>56.565217391300003</v>
      </c>
      <c r="DC55">
        <v>249</v>
      </c>
      <c r="DD55">
        <v>27</v>
      </c>
      <c r="DE55">
        <v>130.33734939760001</v>
      </c>
      <c r="DF55">
        <v>98.222222222200003</v>
      </c>
      <c r="DH55" t="s">
        <v>412</v>
      </c>
      <c r="DI55" t="s">
        <v>860</v>
      </c>
      <c r="DJ55" t="s">
        <v>865</v>
      </c>
      <c r="DK55">
        <v>78</v>
      </c>
      <c r="DL55">
        <v>5</v>
      </c>
      <c r="DM55">
        <v>62.910256410300001</v>
      </c>
      <c r="DN55">
        <v>277</v>
      </c>
      <c r="DO55">
        <v>18</v>
      </c>
      <c r="DP55">
        <v>118.51985559569999</v>
      </c>
      <c r="DQ55">
        <v>107.6666666667</v>
      </c>
    </row>
    <row r="56" spans="2:121" x14ac:dyDescent="0.2">
      <c r="F56" t="s">
        <v>38</v>
      </c>
      <c r="G56">
        <v>4151</v>
      </c>
      <c r="H56">
        <v>392.64803661769997</v>
      </c>
      <c r="I56">
        <v>7593</v>
      </c>
      <c r="J56">
        <v>1387</v>
      </c>
      <c r="K56">
        <v>7956</v>
      </c>
      <c r="L56">
        <v>3274</v>
      </c>
      <c r="M56">
        <v>1926</v>
      </c>
      <c r="N56">
        <v>1734</v>
      </c>
      <c r="O56">
        <v>2923</v>
      </c>
      <c r="P56">
        <v>2268</v>
      </c>
      <c r="Q56">
        <v>1</v>
      </c>
      <c r="R56">
        <v>333</v>
      </c>
      <c r="BJ56" t="s">
        <v>602</v>
      </c>
      <c r="BK56" t="s">
        <v>403</v>
      </c>
      <c r="BL56">
        <v>5097</v>
      </c>
      <c r="BM56">
        <v>927</v>
      </c>
      <c r="BN56">
        <v>85.265842652499998</v>
      </c>
      <c r="BO56">
        <v>12815</v>
      </c>
      <c r="BP56">
        <v>1240</v>
      </c>
      <c r="BQ56">
        <v>135.5264923917</v>
      </c>
      <c r="BR56">
        <v>130.80887096769999</v>
      </c>
      <c r="BS56">
        <v>2094</v>
      </c>
      <c r="BT56">
        <v>423</v>
      </c>
      <c r="BU56">
        <v>88.079274116500002</v>
      </c>
      <c r="BV56">
        <v>12405</v>
      </c>
      <c r="BW56">
        <v>1194</v>
      </c>
      <c r="BX56">
        <v>135.81555824259999</v>
      </c>
      <c r="BY56">
        <v>134.63986599660001</v>
      </c>
      <c r="CA56" t="s">
        <v>404</v>
      </c>
      <c r="CB56" t="s">
        <v>889</v>
      </c>
      <c r="CC56" t="s">
        <v>1019</v>
      </c>
      <c r="CD56">
        <v>2741</v>
      </c>
      <c r="CE56">
        <v>596</v>
      </c>
      <c r="CF56">
        <v>89.097774534799996</v>
      </c>
      <c r="CG56">
        <v>7046</v>
      </c>
      <c r="CH56">
        <v>582</v>
      </c>
      <c r="CI56">
        <v>133.2499290378</v>
      </c>
      <c r="CJ56">
        <v>124.3402061856</v>
      </c>
      <c r="CL56" t="s">
        <v>404</v>
      </c>
      <c r="CM56" t="s">
        <v>870</v>
      </c>
      <c r="CN56" t="s">
        <v>876</v>
      </c>
      <c r="CO56">
        <v>178</v>
      </c>
      <c r="CP56">
        <v>19</v>
      </c>
      <c r="CQ56">
        <v>70.567415730299999</v>
      </c>
      <c r="CR56">
        <v>1006</v>
      </c>
      <c r="CS56">
        <v>77</v>
      </c>
      <c r="CT56">
        <v>61.474155069600002</v>
      </c>
      <c r="CU56">
        <v>74.298701298699996</v>
      </c>
      <c r="CW56" t="s">
        <v>404</v>
      </c>
      <c r="CX56" t="s">
        <v>880</v>
      </c>
      <c r="CY56" t="s">
        <v>886</v>
      </c>
      <c r="CZ56">
        <v>59</v>
      </c>
      <c r="DA56">
        <v>11</v>
      </c>
      <c r="DB56">
        <v>78.677966101699994</v>
      </c>
      <c r="DC56">
        <v>129</v>
      </c>
      <c r="DD56">
        <v>14</v>
      </c>
      <c r="DE56">
        <v>145.10077519379999</v>
      </c>
      <c r="DF56">
        <v>118</v>
      </c>
      <c r="DH56" t="s">
        <v>404</v>
      </c>
      <c r="DI56" t="s">
        <v>860</v>
      </c>
      <c r="DJ56" t="s">
        <v>866</v>
      </c>
      <c r="DK56">
        <v>52</v>
      </c>
      <c r="DL56">
        <v>5</v>
      </c>
      <c r="DM56">
        <v>67.134615384599996</v>
      </c>
      <c r="DN56">
        <v>172</v>
      </c>
      <c r="DO56">
        <v>10</v>
      </c>
      <c r="DP56">
        <v>127.6337209302</v>
      </c>
      <c r="DQ56">
        <v>118.3</v>
      </c>
    </row>
    <row r="57" spans="2:121" x14ac:dyDescent="0.2">
      <c r="F57" t="s">
        <v>56</v>
      </c>
      <c r="G57">
        <v>4686</v>
      </c>
      <c r="H57">
        <v>163.93640631669999</v>
      </c>
      <c r="I57">
        <v>6826</v>
      </c>
      <c r="J57">
        <v>1153</v>
      </c>
      <c r="K57">
        <v>8445</v>
      </c>
      <c r="L57">
        <v>2293</v>
      </c>
      <c r="M57">
        <v>947</v>
      </c>
      <c r="N57">
        <v>627</v>
      </c>
      <c r="O57">
        <v>641</v>
      </c>
      <c r="P57">
        <v>374</v>
      </c>
      <c r="Q57">
        <v>8853</v>
      </c>
      <c r="R57">
        <v>0</v>
      </c>
      <c r="BJ57" t="s">
        <v>610</v>
      </c>
      <c r="BK57" t="s">
        <v>403</v>
      </c>
      <c r="BL57">
        <v>3771</v>
      </c>
      <c r="BM57">
        <v>969</v>
      </c>
      <c r="BN57">
        <v>99.155926809899995</v>
      </c>
      <c r="BO57">
        <v>8983</v>
      </c>
      <c r="BP57">
        <v>1063</v>
      </c>
      <c r="BQ57">
        <v>141.56172770789999</v>
      </c>
      <c r="BR57">
        <v>136.16462841020001</v>
      </c>
      <c r="BS57">
        <v>769</v>
      </c>
      <c r="BT57">
        <v>238</v>
      </c>
      <c r="BU57">
        <v>110.0325097529</v>
      </c>
      <c r="BV57">
        <v>8023</v>
      </c>
      <c r="BW57">
        <v>936</v>
      </c>
      <c r="BX57">
        <v>131.92995138980001</v>
      </c>
      <c r="BY57">
        <v>149.65598290599999</v>
      </c>
      <c r="CA57" t="s">
        <v>408</v>
      </c>
      <c r="CB57" t="s">
        <v>889</v>
      </c>
      <c r="CC57" t="s">
        <v>1020</v>
      </c>
      <c r="CD57">
        <v>4966</v>
      </c>
      <c r="CE57">
        <v>849</v>
      </c>
      <c r="CF57">
        <v>85.085380588000007</v>
      </c>
      <c r="CG57">
        <v>12942</v>
      </c>
      <c r="CH57">
        <v>1265</v>
      </c>
      <c r="CI57">
        <v>135.078195024</v>
      </c>
      <c r="CJ57">
        <v>129.69802371540001</v>
      </c>
      <c r="CL57" t="s">
        <v>408</v>
      </c>
      <c r="CM57" t="s">
        <v>870</v>
      </c>
      <c r="CN57" t="s">
        <v>877</v>
      </c>
      <c r="CO57">
        <v>339</v>
      </c>
      <c r="CP57">
        <v>32</v>
      </c>
      <c r="CQ57">
        <v>64.106194690300001</v>
      </c>
      <c r="CR57">
        <v>1858</v>
      </c>
      <c r="CS57">
        <v>160</v>
      </c>
      <c r="CT57">
        <v>69.472551130200003</v>
      </c>
      <c r="CU57">
        <v>80.631249999999994</v>
      </c>
      <c r="CW57" t="s">
        <v>408</v>
      </c>
      <c r="CX57" t="s">
        <v>880</v>
      </c>
      <c r="CY57" t="s">
        <v>887</v>
      </c>
      <c r="CZ57">
        <v>56</v>
      </c>
      <c r="DA57">
        <v>7</v>
      </c>
      <c r="DB57">
        <v>63.964285714299997</v>
      </c>
      <c r="DC57">
        <v>232</v>
      </c>
      <c r="DD57">
        <v>24</v>
      </c>
      <c r="DE57">
        <v>134.36206896549999</v>
      </c>
      <c r="DF57">
        <v>95.541666666699996</v>
      </c>
      <c r="DH57" t="s">
        <v>408</v>
      </c>
      <c r="DI57" t="s">
        <v>860</v>
      </c>
      <c r="DJ57" t="s">
        <v>867</v>
      </c>
      <c r="DK57">
        <v>31</v>
      </c>
      <c r="DL57">
        <v>4</v>
      </c>
      <c r="DM57">
        <v>67.032258064499999</v>
      </c>
      <c r="DN57">
        <v>129</v>
      </c>
      <c r="DO57">
        <v>9</v>
      </c>
      <c r="DP57">
        <v>123.3410852713</v>
      </c>
      <c r="DQ57">
        <v>113.7777777778</v>
      </c>
    </row>
    <row r="58" spans="2:121" x14ac:dyDescent="0.2">
      <c r="F58" t="s">
        <v>60</v>
      </c>
      <c r="G58">
        <v>2301</v>
      </c>
      <c r="H58">
        <v>304.90352020860001</v>
      </c>
      <c r="I58">
        <v>4656</v>
      </c>
      <c r="J58">
        <v>1395</v>
      </c>
      <c r="K58">
        <v>5122</v>
      </c>
      <c r="L58">
        <v>2015</v>
      </c>
      <c r="M58">
        <v>2012</v>
      </c>
      <c r="N58">
        <v>1739</v>
      </c>
      <c r="O58">
        <v>3988</v>
      </c>
      <c r="P58">
        <v>2882</v>
      </c>
      <c r="Q58">
        <v>0</v>
      </c>
      <c r="R58">
        <v>1</v>
      </c>
      <c r="BJ58" t="s">
        <v>623</v>
      </c>
      <c r="BK58" t="s">
        <v>403</v>
      </c>
      <c r="BL58">
        <v>10714</v>
      </c>
      <c r="BM58">
        <v>1824</v>
      </c>
      <c r="BN58">
        <v>82.767313795000007</v>
      </c>
      <c r="BO58">
        <v>27032</v>
      </c>
      <c r="BP58">
        <v>2196</v>
      </c>
      <c r="BQ58">
        <v>123.7067179639</v>
      </c>
      <c r="BR58">
        <v>127.09289617490001</v>
      </c>
      <c r="BS58">
        <v>3831</v>
      </c>
      <c r="BT58">
        <v>935</v>
      </c>
      <c r="BU58">
        <v>99.783868441699994</v>
      </c>
      <c r="BV58">
        <v>28356</v>
      </c>
      <c r="BW58">
        <v>2919</v>
      </c>
      <c r="BX58">
        <v>126.04658626040001</v>
      </c>
      <c r="BY58">
        <v>115.8876327509</v>
      </c>
      <c r="CA58" t="s">
        <v>80</v>
      </c>
      <c r="CB58" t="s">
        <v>889</v>
      </c>
      <c r="CC58" t="s">
        <v>1021</v>
      </c>
      <c r="CD58">
        <v>7123</v>
      </c>
      <c r="CE58">
        <v>1337</v>
      </c>
      <c r="CF58">
        <v>89.692404885599998</v>
      </c>
      <c r="CG58">
        <v>20267</v>
      </c>
      <c r="CH58">
        <v>1822</v>
      </c>
      <c r="CI58">
        <v>108.8123057187</v>
      </c>
      <c r="CJ58">
        <v>110.96487376509999</v>
      </c>
      <c r="CL58" t="s">
        <v>80</v>
      </c>
      <c r="CM58" t="s">
        <v>870</v>
      </c>
      <c r="CN58" t="s">
        <v>878</v>
      </c>
      <c r="CO58">
        <v>502</v>
      </c>
      <c r="CP58">
        <v>46</v>
      </c>
      <c r="CQ58">
        <v>69.521912350600005</v>
      </c>
      <c r="CR58">
        <v>2791</v>
      </c>
      <c r="CS58">
        <v>248</v>
      </c>
      <c r="CT58">
        <v>71.796130419199997</v>
      </c>
      <c r="CU58">
        <v>76.887096774200003</v>
      </c>
      <c r="CW58" t="s">
        <v>80</v>
      </c>
      <c r="CX58" t="s">
        <v>880</v>
      </c>
      <c r="CY58" t="s">
        <v>888</v>
      </c>
      <c r="CZ58">
        <v>284</v>
      </c>
      <c r="DA58">
        <v>21</v>
      </c>
      <c r="DB58">
        <v>58.517605633800002</v>
      </c>
      <c r="DC58">
        <v>763</v>
      </c>
      <c r="DD58">
        <v>85</v>
      </c>
      <c r="DE58">
        <v>122.380078637</v>
      </c>
      <c r="DF58">
        <v>99.647058823500004</v>
      </c>
      <c r="DH58" t="s">
        <v>80</v>
      </c>
      <c r="DI58" t="s">
        <v>860</v>
      </c>
      <c r="DJ58" t="s">
        <v>868</v>
      </c>
      <c r="DK58">
        <v>380</v>
      </c>
      <c r="DL58">
        <v>26</v>
      </c>
      <c r="DM58">
        <v>60.860526315800001</v>
      </c>
      <c r="DN58">
        <v>1118</v>
      </c>
      <c r="DO58">
        <v>80</v>
      </c>
      <c r="DP58">
        <v>119.14490161000001</v>
      </c>
      <c r="DQ58">
        <v>119.5</v>
      </c>
    </row>
    <row r="59" spans="2:121" x14ac:dyDescent="0.2">
      <c r="F59" t="s">
        <v>55</v>
      </c>
      <c r="G59">
        <v>484</v>
      </c>
      <c r="H59">
        <v>190.7438016529</v>
      </c>
      <c r="I59">
        <v>827</v>
      </c>
      <c r="J59">
        <v>241</v>
      </c>
      <c r="K59">
        <v>823</v>
      </c>
      <c r="L59">
        <v>335</v>
      </c>
      <c r="M59">
        <v>382</v>
      </c>
      <c r="N59">
        <v>297</v>
      </c>
      <c r="O59">
        <v>258</v>
      </c>
      <c r="P59">
        <v>128</v>
      </c>
      <c r="Q59">
        <v>470</v>
      </c>
      <c r="R59">
        <v>159</v>
      </c>
      <c r="BJ59" t="s">
        <v>596</v>
      </c>
      <c r="BK59" t="s">
        <v>403</v>
      </c>
      <c r="BL59">
        <v>8176</v>
      </c>
      <c r="BM59">
        <v>1404</v>
      </c>
      <c r="BN59">
        <v>82.401174168300003</v>
      </c>
      <c r="BO59">
        <v>47439</v>
      </c>
      <c r="BP59">
        <v>4530</v>
      </c>
      <c r="BQ59">
        <v>63.3414911781</v>
      </c>
      <c r="BR59">
        <v>57.595584989000002</v>
      </c>
      <c r="BS59">
        <v>3359</v>
      </c>
      <c r="BT59">
        <v>698</v>
      </c>
      <c r="BU59">
        <v>85.255433164600007</v>
      </c>
      <c r="BV59">
        <v>49888</v>
      </c>
      <c r="BW59">
        <v>4814</v>
      </c>
      <c r="BX59">
        <v>64.982340442600005</v>
      </c>
      <c r="BY59">
        <v>58.352305774800001</v>
      </c>
      <c r="CA59" t="s">
        <v>403</v>
      </c>
      <c r="CB59" t="s">
        <v>889</v>
      </c>
      <c r="CD59">
        <v>61913</v>
      </c>
      <c r="CE59">
        <v>12365</v>
      </c>
      <c r="CF59">
        <v>88.455300179299996</v>
      </c>
      <c r="CG59">
        <v>157983</v>
      </c>
      <c r="CH59">
        <v>14828</v>
      </c>
      <c r="CI59">
        <v>126.4098668844</v>
      </c>
      <c r="CJ59">
        <v>125.5055300782</v>
      </c>
      <c r="CL59" t="s">
        <v>403</v>
      </c>
      <c r="CM59" t="s">
        <v>870</v>
      </c>
      <c r="CO59">
        <v>4081</v>
      </c>
      <c r="CP59">
        <v>343</v>
      </c>
      <c r="CQ59">
        <v>64.037245773099997</v>
      </c>
      <c r="CR59">
        <v>22386</v>
      </c>
      <c r="CS59">
        <v>2073</v>
      </c>
      <c r="CT59">
        <v>67.852765121100006</v>
      </c>
      <c r="CU59">
        <v>73.027978774700003</v>
      </c>
      <c r="CW59" t="s">
        <v>403</v>
      </c>
      <c r="CX59" t="s">
        <v>880</v>
      </c>
      <c r="CZ59">
        <v>1811</v>
      </c>
      <c r="DA59">
        <v>191</v>
      </c>
      <c r="DB59">
        <v>64.379900607400003</v>
      </c>
      <c r="DC59">
        <v>5163</v>
      </c>
      <c r="DD59">
        <v>486</v>
      </c>
      <c r="DE59">
        <v>128.00755374779999</v>
      </c>
      <c r="DF59">
        <v>107.7283950617</v>
      </c>
      <c r="DH59" t="s">
        <v>403</v>
      </c>
      <c r="DI59" t="s">
        <v>860</v>
      </c>
      <c r="DK59">
        <v>1456</v>
      </c>
      <c r="DL59">
        <v>131</v>
      </c>
      <c r="DM59">
        <v>65.357829670300006</v>
      </c>
      <c r="DN59">
        <v>4269</v>
      </c>
      <c r="DO59">
        <v>312</v>
      </c>
      <c r="DP59">
        <v>120.21339892250001</v>
      </c>
      <c r="DQ59">
        <v>114.4358974359</v>
      </c>
    </row>
    <row r="60" spans="2:121" x14ac:dyDescent="0.2">
      <c r="F60" t="s">
        <v>49</v>
      </c>
      <c r="G60">
        <v>2796</v>
      </c>
      <c r="H60">
        <v>404.52145922749997</v>
      </c>
      <c r="I60">
        <v>4571</v>
      </c>
      <c r="J60">
        <v>1421</v>
      </c>
      <c r="K60">
        <v>6660</v>
      </c>
      <c r="L60">
        <v>3751</v>
      </c>
      <c r="M60">
        <v>2626</v>
      </c>
      <c r="N60">
        <v>2001</v>
      </c>
      <c r="O60">
        <v>816</v>
      </c>
      <c r="P60">
        <v>630</v>
      </c>
      <c r="Q60">
        <v>47</v>
      </c>
      <c r="R60">
        <v>285</v>
      </c>
      <c r="BJ60" t="s">
        <v>538</v>
      </c>
      <c r="BK60" t="s">
        <v>379</v>
      </c>
      <c r="BL60">
        <v>18336</v>
      </c>
      <c r="BM60">
        <v>5169</v>
      </c>
      <c r="BN60">
        <v>99.703915794099998</v>
      </c>
      <c r="BO60">
        <v>38864</v>
      </c>
      <c r="BP60">
        <v>3871</v>
      </c>
      <c r="BQ60">
        <v>145.22895224370001</v>
      </c>
      <c r="BR60">
        <v>143.8987341772</v>
      </c>
      <c r="BS60">
        <v>3170</v>
      </c>
      <c r="BT60">
        <v>1169</v>
      </c>
      <c r="BU60">
        <v>128.77539432180001</v>
      </c>
      <c r="BV60">
        <v>29301</v>
      </c>
      <c r="BW60">
        <v>1713</v>
      </c>
      <c r="BX60">
        <v>141.32684891299999</v>
      </c>
      <c r="BY60">
        <v>170.26386456509999</v>
      </c>
      <c r="CA60" t="s">
        <v>387</v>
      </c>
      <c r="CB60" t="s">
        <v>914</v>
      </c>
      <c r="CC60" t="s">
        <v>1022</v>
      </c>
      <c r="CD60">
        <v>8115</v>
      </c>
      <c r="CE60">
        <v>1977</v>
      </c>
      <c r="CF60">
        <v>97.5829944547</v>
      </c>
      <c r="CG60">
        <v>20276</v>
      </c>
      <c r="CH60">
        <v>2006</v>
      </c>
      <c r="CI60">
        <v>146.13296508190001</v>
      </c>
      <c r="CJ60">
        <v>137.8180458624</v>
      </c>
      <c r="CL60" t="s">
        <v>387</v>
      </c>
      <c r="CM60" t="s">
        <v>899</v>
      </c>
      <c r="CN60" t="s">
        <v>898</v>
      </c>
      <c r="CO60">
        <v>605</v>
      </c>
      <c r="CP60">
        <v>81</v>
      </c>
      <c r="CQ60">
        <v>73.570247933900006</v>
      </c>
      <c r="CR60">
        <v>3883</v>
      </c>
      <c r="CS60">
        <v>362</v>
      </c>
      <c r="CT60">
        <v>67.824362606199998</v>
      </c>
      <c r="CU60">
        <v>73.779005524900001</v>
      </c>
      <c r="CW60" t="s">
        <v>387</v>
      </c>
      <c r="CX60" t="s">
        <v>907</v>
      </c>
      <c r="CY60" t="s">
        <v>906</v>
      </c>
      <c r="CZ60">
        <v>127</v>
      </c>
      <c r="DA60">
        <v>18</v>
      </c>
      <c r="DB60">
        <v>79.818897637800006</v>
      </c>
      <c r="DC60">
        <v>359</v>
      </c>
      <c r="DD60">
        <v>31</v>
      </c>
      <c r="DE60">
        <v>154.94428969360001</v>
      </c>
      <c r="DF60">
        <v>159.03225806450001</v>
      </c>
      <c r="DH60" t="s">
        <v>387</v>
      </c>
      <c r="DI60" t="s">
        <v>891</v>
      </c>
      <c r="DJ60" t="s">
        <v>890</v>
      </c>
      <c r="DK60">
        <v>105</v>
      </c>
      <c r="DL60">
        <v>15</v>
      </c>
      <c r="DM60">
        <v>80.390476190499996</v>
      </c>
      <c r="DN60">
        <v>429</v>
      </c>
      <c r="DO60">
        <v>38</v>
      </c>
      <c r="DP60">
        <v>145.96037296040001</v>
      </c>
      <c r="DQ60">
        <v>123.81578947369999</v>
      </c>
    </row>
    <row r="61" spans="2:121" x14ac:dyDescent="0.2">
      <c r="F61" t="s">
        <v>36</v>
      </c>
      <c r="G61">
        <v>217</v>
      </c>
      <c r="H61">
        <v>280.23963133640001</v>
      </c>
      <c r="I61">
        <v>705</v>
      </c>
      <c r="J61">
        <v>69</v>
      </c>
      <c r="K61">
        <v>685</v>
      </c>
      <c r="L61">
        <v>207</v>
      </c>
      <c r="M61">
        <v>174</v>
      </c>
      <c r="N61">
        <v>92</v>
      </c>
      <c r="O61">
        <v>111</v>
      </c>
      <c r="P61">
        <v>46</v>
      </c>
      <c r="Q61">
        <v>2</v>
      </c>
      <c r="R61">
        <v>4</v>
      </c>
      <c r="BJ61" t="s">
        <v>546</v>
      </c>
      <c r="BK61" t="s">
        <v>379</v>
      </c>
      <c r="BL61">
        <v>9601</v>
      </c>
      <c r="BM61">
        <v>2402</v>
      </c>
      <c r="BN61">
        <v>98.083428809500006</v>
      </c>
      <c r="BO61">
        <v>21451</v>
      </c>
      <c r="BP61">
        <v>2016</v>
      </c>
      <c r="BQ61">
        <v>134.52668873249999</v>
      </c>
      <c r="BR61">
        <v>132.81299603170001</v>
      </c>
      <c r="BS61">
        <v>4770</v>
      </c>
      <c r="BT61">
        <v>1323</v>
      </c>
      <c r="BU61">
        <v>102.7320754717</v>
      </c>
      <c r="BV61">
        <v>22456</v>
      </c>
      <c r="BW61">
        <v>2096</v>
      </c>
      <c r="BX61">
        <v>132.20083719269999</v>
      </c>
      <c r="BY61">
        <v>133.31917938929999</v>
      </c>
      <c r="CA61" t="s">
        <v>424</v>
      </c>
      <c r="CB61" t="s">
        <v>914</v>
      </c>
      <c r="CC61" t="s">
        <v>1023</v>
      </c>
      <c r="CD61">
        <v>26068</v>
      </c>
      <c r="CE61">
        <v>6312</v>
      </c>
      <c r="CF61">
        <v>95.632653061200003</v>
      </c>
      <c r="CG61">
        <v>60912</v>
      </c>
      <c r="CH61">
        <v>6222</v>
      </c>
      <c r="CI61">
        <v>138.47901891250001</v>
      </c>
      <c r="CJ61">
        <v>138.05432336870001</v>
      </c>
      <c r="CL61" t="s">
        <v>424</v>
      </c>
      <c r="CM61" t="s">
        <v>899</v>
      </c>
      <c r="CN61" t="s">
        <v>900</v>
      </c>
      <c r="CO61">
        <v>2713</v>
      </c>
      <c r="CP61">
        <v>346</v>
      </c>
      <c r="CQ61">
        <v>69.1868779948</v>
      </c>
      <c r="CR61">
        <v>8879</v>
      </c>
      <c r="CS61">
        <v>1113</v>
      </c>
      <c r="CT61">
        <v>96.153508278000004</v>
      </c>
      <c r="CU61">
        <v>103.3171608266</v>
      </c>
      <c r="CW61" t="s">
        <v>424</v>
      </c>
      <c r="CX61" t="s">
        <v>907</v>
      </c>
      <c r="CY61" t="s">
        <v>908</v>
      </c>
      <c r="CZ61">
        <v>612</v>
      </c>
      <c r="DA61">
        <v>76</v>
      </c>
      <c r="DB61">
        <v>73.771241830099996</v>
      </c>
      <c r="DC61">
        <v>1608</v>
      </c>
      <c r="DD61">
        <v>158</v>
      </c>
      <c r="DE61">
        <v>149.9514925373</v>
      </c>
      <c r="DF61">
        <v>126.52531645569999</v>
      </c>
      <c r="DH61" t="s">
        <v>424</v>
      </c>
      <c r="DI61" t="s">
        <v>891</v>
      </c>
      <c r="DJ61" t="s">
        <v>892</v>
      </c>
      <c r="DK61">
        <v>611</v>
      </c>
      <c r="DL61">
        <v>77</v>
      </c>
      <c r="DM61">
        <v>70.307692307699995</v>
      </c>
      <c r="DN61">
        <v>2286</v>
      </c>
      <c r="DO61">
        <v>228</v>
      </c>
      <c r="DP61">
        <v>139.59098862639999</v>
      </c>
      <c r="DQ61">
        <v>116.4605263158</v>
      </c>
    </row>
    <row r="62" spans="2:121" x14ac:dyDescent="0.2">
      <c r="BJ62" t="s">
        <v>562</v>
      </c>
      <c r="BK62" t="s">
        <v>379</v>
      </c>
      <c r="BL62">
        <v>4085</v>
      </c>
      <c r="BM62">
        <v>807</v>
      </c>
      <c r="BN62">
        <v>92.294736842099994</v>
      </c>
      <c r="BO62">
        <v>12943</v>
      </c>
      <c r="BP62">
        <v>1086</v>
      </c>
      <c r="BQ62">
        <v>129.34536042650001</v>
      </c>
      <c r="BR62">
        <v>113.7725598527</v>
      </c>
      <c r="BS62">
        <v>1740</v>
      </c>
      <c r="BT62">
        <v>549</v>
      </c>
      <c r="BU62">
        <v>121.73563218389999</v>
      </c>
      <c r="BV62">
        <v>18805</v>
      </c>
      <c r="BW62">
        <v>2081</v>
      </c>
      <c r="BX62">
        <v>148.56160595590001</v>
      </c>
      <c r="BY62">
        <v>129.14800576650001</v>
      </c>
      <c r="CA62" t="s">
        <v>380</v>
      </c>
      <c r="CB62" t="s">
        <v>914</v>
      </c>
      <c r="CC62" t="s">
        <v>1024</v>
      </c>
      <c r="CD62">
        <v>19470</v>
      </c>
      <c r="CE62">
        <v>5298</v>
      </c>
      <c r="CF62">
        <v>100.0742681048</v>
      </c>
      <c r="CG62">
        <v>43782</v>
      </c>
      <c r="CH62">
        <v>4502</v>
      </c>
      <c r="CI62">
        <v>136.599058974</v>
      </c>
      <c r="CJ62">
        <v>135.515548645</v>
      </c>
      <c r="CL62" t="s">
        <v>380</v>
      </c>
      <c r="CM62" t="s">
        <v>899</v>
      </c>
      <c r="CN62" t="s">
        <v>901</v>
      </c>
      <c r="CO62">
        <v>1365</v>
      </c>
      <c r="CP62">
        <v>188</v>
      </c>
      <c r="CQ62">
        <v>71.072527472499999</v>
      </c>
      <c r="CR62">
        <v>4478</v>
      </c>
      <c r="CS62">
        <v>569</v>
      </c>
      <c r="CT62">
        <v>99.566994193799999</v>
      </c>
      <c r="CU62">
        <v>108.4569420035</v>
      </c>
      <c r="CW62" t="s">
        <v>380</v>
      </c>
      <c r="CX62" t="s">
        <v>907</v>
      </c>
      <c r="CY62" t="s">
        <v>909</v>
      </c>
      <c r="CZ62">
        <v>396</v>
      </c>
      <c r="DA62">
        <v>53</v>
      </c>
      <c r="DB62">
        <v>77.239898989899999</v>
      </c>
      <c r="DC62">
        <v>948</v>
      </c>
      <c r="DD62">
        <v>89</v>
      </c>
      <c r="DE62">
        <v>150.65189873419999</v>
      </c>
      <c r="DF62">
        <v>125.797752809</v>
      </c>
      <c r="DH62" t="s">
        <v>380</v>
      </c>
      <c r="DI62" t="s">
        <v>891</v>
      </c>
      <c r="DJ62" t="s">
        <v>893</v>
      </c>
      <c r="DK62">
        <v>329</v>
      </c>
      <c r="DL62">
        <v>47</v>
      </c>
      <c r="DM62">
        <v>80.9452887538</v>
      </c>
      <c r="DN62">
        <v>1122</v>
      </c>
      <c r="DO62">
        <v>96</v>
      </c>
      <c r="DP62">
        <v>137.88859180040001</v>
      </c>
      <c r="DQ62">
        <v>99.96875</v>
      </c>
    </row>
    <row r="63" spans="2:121" x14ac:dyDescent="0.2">
      <c r="BJ63" t="s">
        <v>552</v>
      </c>
      <c r="BK63" t="s">
        <v>379</v>
      </c>
      <c r="BL63">
        <v>7877</v>
      </c>
      <c r="BM63">
        <v>2004</v>
      </c>
      <c r="BN63">
        <v>100.5505903263</v>
      </c>
      <c r="BO63">
        <v>19438</v>
      </c>
      <c r="BP63">
        <v>1914</v>
      </c>
      <c r="BQ63">
        <v>153.39649140860001</v>
      </c>
      <c r="BR63">
        <v>151.09038662489999</v>
      </c>
      <c r="BS63">
        <v>2343</v>
      </c>
      <c r="BT63">
        <v>783</v>
      </c>
      <c r="BU63">
        <v>113.0631668801</v>
      </c>
      <c r="BV63">
        <v>18308</v>
      </c>
      <c r="BW63">
        <v>1809</v>
      </c>
      <c r="BX63">
        <v>150.2329582696</v>
      </c>
      <c r="BY63">
        <v>150.45715865119999</v>
      </c>
      <c r="CA63" t="s">
        <v>392</v>
      </c>
      <c r="CB63" t="s">
        <v>914</v>
      </c>
      <c r="CC63" t="s">
        <v>1025</v>
      </c>
      <c r="CD63">
        <v>3694</v>
      </c>
      <c r="CE63">
        <v>526</v>
      </c>
      <c r="CF63">
        <v>76.609907958899996</v>
      </c>
      <c r="CG63">
        <v>13183</v>
      </c>
      <c r="CH63">
        <v>1132</v>
      </c>
      <c r="CI63">
        <v>115.20556777669999</v>
      </c>
      <c r="CJ63">
        <v>102.8295053004</v>
      </c>
      <c r="CL63" t="s">
        <v>392</v>
      </c>
      <c r="CM63" t="s">
        <v>899</v>
      </c>
      <c r="CN63" t="s">
        <v>902</v>
      </c>
      <c r="CO63">
        <v>344</v>
      </c>
      <c r="CP63">
        <v>52</v>
      </c>
      <c r="CQ63">
        <v>69.366279069800001</v>
      </c>
      <c r="CR63">
        <v>2036</v>
      </c>
      <c r="CS63">
        <v>159</v>
      </c>
      <c r="CT63">
        <v>70.4302554028</v>
      </c>
      <c r="CU63">
        <v>71.471698113200006</v>
      </c>
      <c r="CW63" t="s">
        <v>392</v>
      </c>
      <c r="CX63" t="s">
        <v>907</v>
      </c>
      <c r="CY63" t="s">
        <v>910</v>
      </c>
      <c r="CZ63">
        <v>78</v>
      </c>
      <c r="DA63">
        <v>7</v>
      </c>
      <c r="DB63">
        <v>64.794871794900004</v>
      </c>
      <c r="DC63">
        <v>228</v>
      </c>
      <c r="DD63">
        <v>26</v>
      </c>
      <c r="DE63">
        <v>144.51754385960001</v>
      </c>
      <c r="DF63">
        <v>118.3846153846</v>
      </c>
      <c r="DH63" t="s">
        <v>392</v>
      </c>
      <c r="DI63" t="s">
        <v>891</v>
      </c>
      <c r="DJ63" t="s">
        <v>894</v>
      </c>
      <c r="DK63">
        <v>100</v>
      </c>
      <c r="DL63">
        <v>15</v>
      </c>
      <c r="DM63">
        <v>69.33</v>
      </c>
      <c r="DN63">
        <v>361</v>
      </c>
      <c r="DO63">
        <v>31</v>
      </c>
      <c r="DP63">
        <v>133.70360110799999</v>
      </c>
      <c r="DQ63">
        <v>88.677419354799994</v>
      </c>
    </row>
    <row r="64" spans="2:121" x14ac:dyDescent="0.2">
      <c r="BJ64" t="s">
        <v>548</v>
      </c>
      <c r="BK64" t="s">
        <v>379</v>
      </c>
      <c r="BL64">
        <v>9202</v>
      </c>
      <c r="BM64">
        <v>1394</v>
      </c>
      <c r="BN64">
        <v>81.417300586799996</v>
      </c>
      <c r="BO64">
        <v>25614</v>
      </c>
      <c r="BP64">
        <v>2285</v>
      </c>
      <c r="BQ64">
        <v>119.8793238073</v>
      </c>
      <c r="BR64">
        <v>113.7435448578</v>
      </c>
      <c r="BS64">
        <v>3525</v>
      </c>
      <c r="BT64">
        <v>830</v>
      </c>
      <c r="BU64">
        <v>103.09843971630001</v>
      </c>
      <c r="BV64">
        <v>26488</v>
      </c>
      <c r="BW64">
        <v>2455</v>
      </c>
      <c r="BX64">
        <v>124.80379794620001</v>
      </c>
      <c r="BY64">
        <v>115.66109979629999</v>
      </c>
      <c r="CA64" t="s">
        <v>426</v>
      </c>
      <c r="CB64" t="s">
        <v>914</v>
      </c>
      <c r="CC64" t="s">
        <v>1026</v>
      </c>
      <c r="CD64">
        <v>2936</v>
      </c>
      <c r="CE64">
        <v>608</v>
      </c>
      <c r="CF64">
        <v>98.623637602200006</v>
      </c>
      <c r="CG64">
        <v>7865</v>
      </c>
      <c r="CH64">
        <v>629</v>
      </c>
      <c r="CI64">
        <v>147.9382072473</v>
      </c>
      <c r="CJ64">
        <v>134.1637519873</v>
      </c>
      <c r="CL64" t="s">
        <v>426</v>
      </c>
      <c r="CM64" t="s">
        <v>899</v>
      </c>
      <c r="CN64" t="s">
        <v>903</v>
      </c>
      <c r="CO64">
        <v>569</v>
      </c>
      <c r="CP64">
        <v>76</v>
      </c>
      <c r="CQ64">
        <v>73.172231985899998</v>
      </c>
      <c r="CR64">
        <v>1615</v>
      </c>
      <c r="CS64">
        <v>211</v>
      </c>
      <c r="CT64">
        <v>108.43962848300001</v>
      </c>
      <c r="CU64">
        <v>116.9336492891</v>
      </c>
      <c r="CW64" t="s">
        <v>426</v>
      </c>
      <c r="CX64" t="s">
        <v>907</v>
      </c>
      <c r="CY64" t="s">
        <v>911</v>
      </c>
      <c r="CZ64">
        <v>18</v>
      </c>
      <c r="DA64">
        <v>4</v>
      </c>
      <c r="DB64">
        <v>101.2777777778</v>
      </c>
      <c r="DC64">
        <v>21</v>
      </c>
      <c r="DD64">
        <v>4</v>
      </c>
      <c r="DE64">
        <v>129.6666666667</v>
      </c>
      <c r="DF64">
        <v>90.75</v>
      </c>
      <c r="DH64" t="s">
        <v>426</v>
      </c>
      <c r="DI64" t="s">
        <v>891</v>
      </c>
      <c r="DJ64" t="s">
        <v>895</v>
      </c>
      <c r="DK64">
        <v>17</v>
      </c>
      <c r="DL64">
        <v>3</v>
      </c>
      <c r="DM64">
        <v>79.470588235299999</v>
      </c>
      <c r="DN64">
        <v>42</v>
      </c>
      <c r="DO64">
        <v>2</v>
      </c>
      <c r="DP64">
        <v>123.69047619049999</v>
      </c>
      <c r="DQ64">
        <v>122.5</v>
      </c>
    </row>
    <row r="65" spans="62:121" x14ac:dyDescent="0.2">
      <c r="BJ65" t="s">
        <v>612</v>
      </c>
      <c r="BK65" t="s">
        <v>379</v>
      </c>
      <c r="BL65">
        <v>1808</v>
      </c>
      <c r="BM65">
        <v>584</v>
      </c>
      <c r="BN65">
        <v>119.8882743363</v>
      </c>
      <c r="BO65">
        <v>7743</v>
      </c>
      <c r="BP65">
        <v>566</v>
      </c>
      <c r="BQ65">
        <v>150.84153428900001</v>
      </c>
      <c r="BR65">
        <v>139.95229681980001</v>
      </c>
      <c r="BS65">
        <v>1080</v>
      </c>
      <c r="BT65">
        <v>331</v>
      </c>
      <c r="BU65">
        <v>114.82129629630001</v>
      </c>
      <c r="BV65">
        <v>8969</v>
      </c>
      <c r="BW65">
        <v>1053</v>
      </c>
      <c r="BX65">
        <v>149.29490467159999</v>
      </c>
      <c r="BY65">
        <v>131.57549857550001</v>
      </c>
      <c r="CA65" t="s">
        <v>382</v>
      </c>
      <c r="CB65" t="s">
        <v>914</v>
      </c>
      <c r="CC65" t="s">
        <v>1027</v>
      </c>
      <c r="CD65">
        <v>9623</v>
      </c>
      <c r="CE65">
        <v>2470</v>
      </c>
      <c r="CF65">
        <v>99.855034812400007</v>
      </c>
      <c r="CG65">
        <v>22841</v>
      </c>
      <c r="CH65">
        <v>2120</v>
      </c>
      <c r="CI65">
        <v>131.8624841294</v>
      </c>
      <c r="CJ65">
        <v>130.14056603770001</v>
      </c>
      <c r="CL65" t="s">
        <v>382</v>
      </c>
      <c r="CM65" t="s">
        <v>899</v>
      </c>
      <c r="CN65" t="s">
        <v>904</v>
      </c>
      <c r="CO65">
        <v>913</v>
      </c>
      <c r="CP65">
        <v>154</v>
      </c>
      <c r="CQ65">
        <v>76.361445783099995</v>
      </c>
      <c r="CR65">
        <v>2675</v>
      </c>
      <c r="CS65">
        <v>353</v>
      </c>
      <c r="CT65">
        <v>95.009345794400005</v>
      </c>
      <c r="CU65">
        <v>100.3031161473</v>
      </c>
      <c r="CW65" t="s">
        <v>382</v>
      </c>
      <c r="CX65" t="s">
        <v>907</v>
      </c>
      <c r="CY65" t="s">
        <v>912</v>
      </c>
      <c r="CZ65">
        <v>165</v>
      </c>
      <c r="DA65">
        <v>29</v>
      </c>
      <c r="DB65">
        <v>84.509090909099996</v>
      </c>
      <c r="DC65">
        <v>485</v>
      </c>
      <c r="DD65">
        <v>55</v>
      </c>
      <c r="DE65">
        <v>160.612371134</v>
      </c>
      <c r="DF65">
        <v>147.4909090909</v>
      </c>
      <c r="DH65" t="s">
        <v>382</v>
      </c>
      <c r="DI65" t="s">
        <v>891</v>
      </c>
      <c r="DJ65" t="s">
        <v>896</v>
      </c>
      <c r="DK65">
        <v>176</v>
      </c>
      <c r="DL65">
        <v>35</v>
      </c>
      <c r="DM65">
        <v>82.420454545499993</v>
      </c>
      <c r="DN65">
        <v>573</v>
      </c>
      <c r="DO65">
        <v>67</v>
      </c>
      <c r="DP65">
        <v>139.5654450262</v>
      </c>
      <c r="DQ65">
        <v>121.9402985075</v>
      </c>
    </row>
    <row r="66" spans="62:121" x14ac:dyDescent="0.2">
      <c r="BJ66" t="s">
        <v>379</v>
      </c>
      <c r="BK66" t="s">
        <v>379</v>
      </c>
      <c r="BL66">
        <v>75999</v>
      </c>
      <c r="BM66">
        <v>18233</v>
      </c>
      <c r="BN66">
        <v>95.875866787700005</v>
      </c>
      <c r="BO66">
        <v>181358</v>
      </c>
      <c r="BP66">
        <v>17426</v>
      </c>
      <c r="BQ66">
        <v>139.6132787084</v>
      </c>
      <c r="BR66">
        <v>136.55153219330001</v>
      </c>
      <c r="BS66">
        <v>26601</v>
      </c>
      <c r="BT66">
        <v>7201</v>
      </c>
      <c r="BU66">
        <v>106.3815646028</v>
      </c>
      <c r="BV66">
        <v>169688</v>
      </c>
      <c r="BW66">
        <v>13083</v>
      </c>
      <c r="BX66">
        <v>139.10961293669999</v>
      </c>
      <c r="BY66">
        <v>142.1165634793</v>
      </c>
      <c r="CA66" t="s">
        <v>383</v>
      </c>
      <c r="CB66" t="s">
        <v>914</v>
      </c>
      <c r="CC66" t="s">
        <v>1028</v>
      </c>
      <c r="CD66">
        <v>9347</v>
      </c>
      <c r="CE66">
        <v>1466</v>
      </c>
      <c r="CF66">
        <v>82.487322135400007</v>
      </c>
      <c r="CG66">
        <v>26399</v>
      </c>
      <c r="CH66">
        <v>2431</v>
      </c>
      <c r="CI66">
        <v>116.94378574949999</v>
      </c>
      <c r="CJ66">
        <v>109.1406828466</v>
      </c>
      <c r="CL66" t="s">
        <v>383</v>
      </c>
      <c r="CM66" t="s">
        <v>899</v>
      </c>
      <c r="CN66" t="s">
        <v>905</v>
      </c>
      <c r="CO66">
        <v>644</v>
      </c>
      <c r="CP66">
        <v>89</v>
      </c>
      <c r="CQ66">
        <v>68.420807453400002</v>
      </c>
      <c r="CR66">
        <v>3519</v>
      </c>
      <c r="CS66">
        <v>349</v>
      </c>
      <c r="CT66">
        <v>69.444444444400006</v>
      </c>
      <c r="CU66">
        <v>70.647564469900004</v>
      </c>
      <c r="CW66" t="s">
        <v>383</v>
      </c>
      <c r="CX66" t="s">
        <v>907</v>
      </c>
      <c r="CY66" t="s">
        <v>913</v>
      </c>
      <c r="CZ66">
        <v>196</v>
      </c>
      <c r="DA66">
        <v>36</v>
      </c>
      <c r="DB66">
        <v>84.760204081599994</v>
      </c>
      <c r="DC66">
        <v>470</v>
      </c>
      <c r="DD66">
        <v>46</v>
      </c>
      <c r="DE66">
        <v>155.9680851064</v>
      </c>
      <c r="DF66">
        <v>148.8913043478</v>
      </c>
      <c r="DH66" t="s">
        <v>383</v>
      </c>
      <c r="DI66" t="s">
        <v>891</v>
      </c>
      <c r="DJ66" t="s">
        <v>897</v>
      </c>
      <c r="DK66">
        <v>230</v>
      </c>
      <c r="DL66">
        <v>38</v>
      </c>
      <c r="DM66">
        <v>79.847826087000001</v>
      </c>
      <c r="DN66">
        <v>945</v>
      </c>
      <c r="DO66">
        <v>76</v>
      </c>
      <c r="DP66">
        <v>138.5185185185</v>
      </c>
      <c r="DQ66">
        <v>117.0131578947</v>
      </c>
    </row>
    <row r="67" spans="62:121" x14ac:dyDescent="0.2">
      <c r="BJ67" t="s">
        <v>540</v>
      </c>
      <c r="BK67" t="s">
        <v>379</v>
      </c>
      <c r="BL67">
        <v>25090</v>
      </c>
      <c r="BM67">
        <v>5873</v>
      </c>
      <c r="BN67">
        <v>94.9214428059</v>
      </c>
      <c r="BO67">
        <v>55305</v>
      </c>
      <c r="BP67">
        <v>5688</v>
      </c>
      <c r="BQ67">
        <v>142.76615134260001</v>
      </c>
      <c r="BR67">
        <v>141.1573488045</v>
      </c>
      <c r="BS67">
        <v>9973</v>
      </c>
      <c r="BT67">
        <v>2216</v>
      </c>
      <c r="BU67">
        <v>97.006918680400005</v>
      </c>
      <c r="BV67">
        <v>45361</v>
      </c>
      <c r="BW67">
        <v>1876</v>
      </c>
      <c r="BX67">
        <v>139.0294967042</v>
      </c>
      <c r="BY67">
        <v>173.12420042639999</v>
      </c>
      <c r="CA67" t="s">
        <v>379</v>
      </c>
      <c r="CB67" t="s">
        <v>914</v>
      </c>
      <c r="CD67">
        <v>79253</v>
      </c>
      <c r="CE67">
        <v>18657</v>
      </c>
      <c r="CF67">
        <v>95.110014762800006</v>
      </c>
      <c r="CG67">
        <v>195258</v>
      </c>
      <c r="CH67">
        <v>19042</v>
      </c>
      <c r="CI67">
        <v>133.97640557619999</v>
      </c>
      <c r="CJ67">
        <v>130.6343346287</v>
      </c>
      <c r="CL67" t="s">
        <v>379</v>
      </c>
      <c r="CM67" t="s">
        <v>899</v>
      </c>
      <c r="CO67">
        <v>7153</v>
      </c>
      <c r="CP67">
        <v>986</v>
      </c>
      <c r="CQ67">
        <v>71.089892352899994</v>
      </c>
      <c r="CR67">
        <v>27085</v>
      </c>
      <c r="CS67">
        <v>3116</v>
      </c>
      <c r="CT67">
        <v>87.872290935899997</v>
      </c>
      <c r="CU67">
        <v>96.1206675225</v>
      </c>
      <c r="CW67" t="s">
        <v>379</v>
      </c>
      <c r="CX67" t="s">
        <v>907</v>
      </c>
      <c r="CZ67">
        <v>1592</v>
      </c>
      <c r="DA67">
        <v>223</v>
      </c>
      <c r="DB67">
        <v>77.453517587899995</v>
      </c>
      <c r="DC67">
        <v>4119</v>
      </c>
      <c r="DD67">
        <v>409</v>
      </c>
      <c r="DE67">
        <v>152.0854576353</v>
      </c>
      <c r="DF67">
        <v>133.2982885086</v>
      </c>
      <c r="DH67" t="s">
        <v>379</v>
      </c>
      <c r="DI67" t="s">
        <v>891</v>
      </c>
      <c r="DK67">
        <v>1568</v>
      </c>
      <c r="DL67">
        <v>230</v>
      </c>
      <c r="DM67">
        <v>76.010841836699996</v>
      </c>
      <c r="DN67">
        <v>5758</v>
      </c>
      <c r="DO67">
        <v>538</v>
      </c>
      <c r="DP67">
        <v>139.07016325110001</v>
      </c>
      <c r="DQ67">
        <v>113.219330855</v>
      </c>
    </row>
    <row r="68" spans="62:121" x14ac:dyDescent="0.2">
      <c r="BJ68" t="s">
        <v>308</v>
      </c>
      <c r="BK68" t="s">
        <v>694</v>
      </c>
      <c r="BL68">
        <v>6286</v>
      </c>
      <c r="BM68">
        <v>706</v>
      </c>
      <c r="BN68">
        <v>69.532771237700004</v>
      </c>
      <c r="BO68">
        <v>20250</v>
      </c>
      <c r="BP68">
        <v>1748</v>
      </c>
      <c r="BQ68">
        <v>129.0258271605</v>
      </c>
      <c r="BR68">
        <v>116.1493135011</v>
      </c>
      <c r="BS68">
        <v>5838</v>
      </c>
      <c r="BT68">
        <v>615</v>
      </c>
      <c r="BU68">
        <v>65.012332990800004</v>
      </c>
      <c r="BV68">
        <v>5849</v>
      </c>
      <c r="BW68">
        <v>347</v>
      </c>
      <c r="BX68">
        <v>127.8353564712</v>
      </c>
      <c r="BY68">
        <v>119.9106628242</v>
      </c>
      <c r="CA68" t="s">
        <v>697</v>
      </c>
      <c r="CD68">
        <v>376797</v>
      </c>
      <c r="CE68">
        <v>75794</v>
      </c>
      <c r="CF68">
        <v>89.142453363499996</v>
      </c>
      <c r="CG68">
        <v>1045566</v>
      </c>
      <c r="CH68">
        <v>100920</v>
      </c>
      <c r="CI68">
        <v>123.16182622620001</v>
      </c>
      <c r="CJ68">
        <v>121.0961256441</v>
      </c>
      <c r="CL68" t="s">
        <v>697</v>
      </c>
      <c r="CO68">
        <v>376797</v>
      </c>
      <c r="CP68">
        <v>75794</v>
      </c>
      <c r="CQ68">
        <v>89.142453363499996</v>
      </c>
      <c r="CR68">
        <v>1045566</v>
      </c>
      <c r="CS68">
        <v>100920</v>
      </c>
      <c r="CT68">
        <v>123.16182622620001</v>
      </c>
      <c r="CU68">
        <v>121.0961256441</v>
      </c>
      <c r="CW68" t="s">
        <v>697</v>
      </c>
      <c r="CZ68">
        <v>376797</v>
      </c>
      <c r="DA68">
        <v>75794</v>
      </c>
      <c r="DB68">
        <v>89.142453363499996</v>
      </c>
      <c r="DC68">
        <v>1045566</v>
      </c>
      <c r="DD68">
        <v>100920</v>
      </c>
      <c r="DE68">
        <v>123.16182622620001</v>
      </c>
      <c r="DF68">
        <v>121.0961256441</v>
      </c>
      <c r="DH68" t="s">
        <v>697</v>
      </c>
      <c r="DK68">
        <v>376797</v>
      </c>
      <c r="DL68">
        <v>75794</v>
      </c>
      <c r="DM68">
        <v>89.142453363499996</v>
      </c>
      <c r="DN68">
        <v>1045566</v>
      </c>
      <c r="DO68">
        <v>100920</v>
      </c>
      <c r="DP68">
        <v>123.16182622620001</v>
      </c>
      <c r="DQ68">
        <v>121.0961256441</v>
      </c>
    </row>
    <row r="69" spans="62:121" x14ac:dyDescent="0.2">
      <c r="BJ69" t="s">
        <v>211</v>
      </c>
      <c r="BK69" t="s">
        <v>694</v>
      </c>
      <c r="BL69">
        <v>46</v>
      </c>
      <c r="BM69">
        <v>7</v>
      </c>
      <c r="BN69">
        <v>74.108695652199998</v>
      </c>
      <c r="BO69">
        <v>185</v>
      </c>
      <c r="BP69">
        <v>16</v>
      </c>
      <c r="BQ69">
        <v>129.6</v>
      </c>
      <c r="BR69">
        <v>129.4375</v>
      </c>
      <c r="BS69">
        <v>358</v>
      </c>
      <c r="BT69">
        <v>75</v>
      </c>
      <c r="BU69">
        <v>110.0977653631</v>
      </c>
      <c r="BV69">
        <v>9771</v>
      </c>
      <c r="BW69">
        <v>894</v>
      </c>
      <c r="BX69">
        <v>118.76286971650001</v>
      </c>
      <c r="BY69">
        <v>114.48322147650001</v>
      </c>
    </row>
    <row r="70" spans="62:121" x14ac:dyDescent="0.2">
      <c r="BJ70" t="s">
        <v>694</v>
      </c>
      <c r="BK70" t="s">
        <v>694</v>
      </c>
      <c r="BL70">
        <v>7311</v>
      </c>
      <c r="BM70">
        <v>813</v>
      </c>
      <c r="BN70">
        <v>68.699357133099994</v>
      </c>
      <c r="BO70">
        <v>24276</v>
      </c>
      <c r="BP70">
        <v>2031</v>
      </c>
      <c r="BQ70">
        <v>131.1221782831</v>
      </c>
      <c r="BR70">
        <v>117.06302314129999</v>
      </c>
      <c r="BS70">
        <v>7311</v>
      </c>
      <c r="BT70">
        <v>813</v>
      </c>
      <c r="BU70">
        <v>68.699357133099994</v>
      </c>
      <c r="BV70">
        <v>24276</v>
      </c>
      <c r="BW70">
        <v>2031</v>
      </c>
      <c r="BX70">
        <v>131.1221782831</v>
      </c>
      <c r="BY70">
        <v>117.06302314129999</v>
      </c>
    </row>
    <row r="71" spans="62:121" x14ac:dyDescent="0.2">
      <c r="BJ71" t="s">
        <v>213</v>
      </c>
      <c r="BK71" t="s">
        <v>694</v>
      </c>
      <c r="BL71">
        <v>979</v>
      </c>
      <c r="BM71">
        <v>100</v>
      </c>
      <c r="BN71">
        <v>63.093973442299998</v>
      </c>
      <c r="BO71">
        <v>3841</v>
      </c>
      <c r="BP71">
        <v>267</v>
      </c>
      <c r="BQ71">
        <v>142.24759177300001</v>
      </c>
      <c r="BR71">
        <v>122.3033707865</v>
      </c>
      <c r="BS71">
        <v>1115</v>
      </c>
      <c r="BT71">
        <v>123</v>
      </c>
      <c r="BU71">
        <v>74.7121076233</v>
      </c>
      <c r="BV71">
        <v>8656</v>
      </c>
      <c r="BW71">
        <v>790</v>
      </c>
      <c r="BX71">
        <v>147.29447781889999</v>
      </c>
      <c r="BY71">
        <v>118.7316455696</v>
      </c>
    </row>
    <row r="72" spans="62:121" x14ac:dyDescent="0.2">
      <c r="BJ72" t="s">
        <v>209</v>
      </c>
      <c r="BK72" t="s">
        <v>695</v>
      </c>
      <c r="BL72">
        <v>5839</v>
      </c>
      <c r="BM72">
        <v>711</v>
      </c>
      <c r="BN72">
        <v>67.615516355500006</v>
      </c>
      <c r="BO72">
        <v>34158</v>
      </c>
      <c r="BP72">
        <v>3056</v>
      </c>
      <c r="BQ72">
        <v>70.844897242200005</v>
      </c>
      <c r="BR72">
        <v>72.184554973800005</v>
      </c>
      <c r="BS72">
        <v>5957</v>
      </c>
      <c r="BT72">
        <v>689</v>
      </c>
      <c r="BU72">
        <v>67.239046499899999</v>
      </c>
      <c r="BV72">
        <v>34520</v>
      </c>
      <c r="BW72">
        <v>3233</v>
      </c>
      <c r="BX72">
        <v>71.106228273499994</v>
      </c>
      <c r="BY72">
        <v>73.221466130500005</v>
      </c>
    </row>
    <row r="73" spans="62:121" x14ac:dyDescent="0.2">
      <c r="BJ73" t="s">
        <v>224</v>
      </c>
      <c r="BK73" t="s">
        <v>695</v>
      </c>
      <c r="BL73">
        <v>849</v>
      </c>
      <c r="BM73">
        <v>412</v>
      </c>
      <c r="BN73">
        <v>181.75500588930001</v>
      </c>
      <c r="BO73">
        <v>4478</v>
      </c>
      <c r="BP73">
        <v>458</v>
      </c>
      <c r="BQ73">
        <v>63.742965609599999</v>
      </c>
      <c r="BR73">
        <v>93.412663755500006</v>
      </c>
      <c r="BS73">
        <v>818</v>
      </c>
      <c r="BT73">
        <v>457</v>
      </c>
      <c r="BU73">
        <v>200.8178484108</v>
      </c>
      <c r="BV73">
        <v>3654</v>
      </c>
      <c r="BW73">
        <v>356</v>
      </c>
      <c r="BX73">
        <v>51.324849479999997</v>
      </c>
      <c r="BY73">
        <v>84.651685393299999</v>
      </c>
    </row>
    <row r="74" spans="62:121" x14ac:dyDescent="0.2">
      <c r="BJ74" t="s">
        <v>210</v>
      </c>
      <c r="BK74" t="s">
        <v>695</v>
      </c>
      <c r="BL74">
        <v>12535</v>
      </c>
      <c r="BM74">
        <v>1594</v>
      </c>
      <c r="BN74">
        <v>67.914240127599996</v>
      </c>
      <c r="BO74">
        <v>40605</v>
      </c>
      <c r="BP74">
        <v>5299</v>
      </c>
      <c r="BQ74">
        <v>99.173377662799993</v>
      </c>
      <c r="BR74">
        <v>103.013964899</v>
      </c>
      <c r="BS74">
        <v>12237</v>
      </c>
      <c r="BT74">
        <v>1587</v>
      </c>
      <c r="BU74">
        <v>67.328103293300003</v>
      </c>
      <c r="BV74">
        <v>40577</v>
      </c>
      <c r="BW74">
        <v>5046</v>
      </c>
      <c r="BX74">
        <v>99.747369199299996</v>
      </c>
      <c r="BY74">
        <v>105.0065398335</v>
      </c>
    </row>
    <row r="75" spans="62:121" x14ac:dyDescent="0.2">
      <c r="BJ75" t="s">
        <v>212</v>
      </c>
      <c r="BK75" t="s">
        <v>695</v>
      </c>
      <c r="BL75">
        <v>7929</v>
      </c>
      <c r="BM75">
        <v>573</v>
      </c>
      <c r="BN75">
        <v>60.572455542900002</v>
      </c>
      <c r="BO75">
        <v>43033</v>
      </c>
      <c r="BP75">
        <v>4062</v>
      </c>
      <c r="BQ75">
        <v>68.330885599400006</v>
      </c>
      <c r="BR75">
        <v>73.270556376200005</v>
      </c>
      <c r="BS75">
        <v>8139</v>
      </c>
      <c r="BT75">
        <v>556</v>
      </c>
      <c r="BU75">
        <v>60.384076667899997</v>
      </c>
      <c r="BV75">
        <v>43523</v>
      </c>
      <c r="BW75">
        <v>4240</v>
      </c>
      <c r="BX75">
        <v>68.543115134499999</v>
      </c>
      <c r="BY75">
        <v>73.148820754699997</v>
      </c>
    </row>
    <row r="76" spans="62:121" x14ac:dyDescent="0.2">
      <c r="BJ76" t="s">
        <v>695</v>
      </c>
      <c r="BK76" t="s">
        <v>695</v>
      </c>
      <c r="BL76">
        <v>27152</v>
      </c>
      <c r="BM76">
        <v>3290</v>
      </c>
      <c r="BN76">
        <v>69.265652622299996</v>
      </c>
      <c r="BO76">
        <v>122274</v>
      </c>
      <c r="BP76">
        <v>12875</v>
      </c>
      <c r="BQ76">
        <v>79.107406316999999</v>
      </c>
      <c r="BR76">
        <v>85.970873786400006</v>
      </c>
      <c r="BS76">
        <v>27151</v>
      </c>
      <c r="BT76">
        <v>3289</v>
      </c>
      <c r="BU76">
        <v>69.248720120800002</v>
      </c>
      <c r="BV76">
        <v>122274</v>
      </c>
      <c r="BW76">
        <v>12875</v>
      </c>
      <c r="BX76">
        <v>79.107406316999999</v>
      </c>
      <c r="BY76">
        <v>85.970873786400006</v>
      </c>
    </row>
    <row r="77" spans="62:121" x14ac:dyDescent="0.2">
      <c r="BJ77" t="s">
        <v>307</v>
      </c>
      <c r="BK77" t="s">
        <v>696</v>
      </c>
      <c r="BL77">
        <v>4907</v>
      </c>
      <c r="BM77">
        <v>651</v>
      </c>
      <c r="BN77">
        <v>73.2971265539</v>
      </c>
      <c r="BO77">
        <v>14060</v>
      </c>
      <c r="BP77">
        <v>1537</v>
      </c>
      <c r="BQ77">
        <v>139.12347083930001</v>
      </c>
      <c r="BR77">
        <v>118.3109954457</v>
      </c>
      <c r="BS77">
        <v>6114</v>
      </c>
      <c r="BT77">
        <v>582</v>
      </c>
      <c r="BU77">
        <v>63.910206084400002</v>
      </c>
      <c r="BV77">
        <v>3839</v>
      </c>
      <c r="BW77">
        <v>203</v>
      </c>
      <c r="BX77">
        <v>133.51471737430001</v>
      </c>
      <c r="BY77">
        <v>125.0049261084</v>
      </c>
    </row>
    <row r="78" spans="62:121" x14ac:dyDescent="0.2">
      <c r="BJ78" t="s">
        <v>955</v>
      </c>
      <c r="BK78" t="s">
        <v>696</v>
      </c>
      <c r="BL78">
        <v>1313</v>
      </c>
      <c r="BM78">
        <v>127</v>
      </c>
      <c r="BN78">
        <v>61.639756283300002</v>
      </c>
      <c r="BO78">
        <v>3919</v>
      </c>
      <c r="BP78">
        <v>294</v>
      </c>
      <c r="BQ78">
        <v>123.8555754019</v>
      </c>
      <c r="BR78">
        <v>106.1632653061</v>
      </c>
      <c r="BS78">
        <v>851</v>
      </c>
      <c r="BT78">
        <v>199</v>
      </c>
      <c r="BU78">
        <v>93.753231492400005</v>
      </c>
      <c r="BV78">
        <v>9599</v>
      </c>
      <c r="BW78">
        <v>1148</v>
      </c>
      <c r="BX78">
        <v>124.82300239609999</v>
      </c>
      <c r="BY78">
        <v>108.57229965160001</v>
      </c>
    </row>
    <row r="79" spans="62:121" x14ac:dyDescent="0.2">
      <c r="BJ79" t="s">
        <v>696</v>
      </c>
      <c r="BK79" t="s">
        <v>696</v>
      </c>
      <c r="BL79">
        <v>7335</v>
      </c>
      <c r="BM79">
        <v>899</v>
      </c>
      <c r="BN79">
        <v>70.155555555600003</v>
      </c>
      <c r="BO79">
        <v>21355</v>
      </c>
      <c r="BP79">
        <v>2133</v>
      </c>
      <c r="BQ79">
        <v>137.91266682279999</v>
      </c>
      <c r="BR79">
        <v>116.4571026723</v>
      </c>
      <c r="BS79">
        <v>7335</v>
      </c>
      <c r="BT79">
        <v>899</v>
      </c>
      <c r="BU79">
        <v>70.155555555600003</v>
      </c>
      <c r="BV79">
        <v>21355</v>
      </c>
      <c r="BW79">
        <v>2133</v>
      </c>
      <c r="BX79">
        <v>137.91266682279999</v>
      </c>
      <c r="BY79">
        <v>116.4571026723</v>
      </c>
    </row>
    <row r="80" spans="62:121" x14ac:dyDescent="0.2">
      <c r="BJ80" t="s">
        <v>956</v>
      </c>
      <c r="BK80" t="s">
        <v>696</v>
      </c>
      <c r="BL80">
        <v>1115</v>
      </c>
      <c r="BM80">
        <v>121</v>
      </c>
      <c r="BN80">
        <v>66.357847533599994</v>
      </c>
      <c r="BO80">
        <v>3376</v>
      </c>
      <c r="BP80">
        <v>302</v>
      </c>
      <c r="BQ80">
        <v>149.18809241709999</v>
      </c>
      <c r="BR80">
        <v>117.04304635760001</v>
      </c>
      <c r="BS80">
        <v>370</v>
      </c>
      <c r="BT80">
        <v>118</v>
      </c>
      <c r="BU80">
        <v>119.0810810811</v>
      </c>
      <c r="BV80">
        <v>7917</v>
      </c>
      <c r="BW80">
        <v>782</v>
      </c>
      <c r="BX80">
        <v>155.9158772262</v>
      </c>
      <c r="BY80">
        <v>125.8132992327</v>
      </c>
    </row>
    <row r="81" spans="62:77" x14ac:dyDescent="0.2">
      <c r="BJ81" t="s">
        <v>697</v>
      </c>
      <c r="BL81">
        <v>376797</v>
      </c>
      <c r="BM81">
        <v>75794</v>
      </c>
      <c r="BN81" s="153">
        <v>89.142453363499996</v>
      </c>
      <c r="BO81">
        <v>1045566</v>
      </c>
      <c r="BP81">
        <v>100920</v>
      </c>
      <c r="BQ81">
        <v>123.16182622620001</v>
      </c>
      <c r="BR81">
        <v>121.0961256441</v>
      </c>
      <c r="BS81">
        <v>376797</v>
      </c>
      <c r="BT81">
        <v>75794</v>
      </c>
      <c r="BU81">
        <v>89.142453363499996</v>
      </c>
      <c r="BV81">
        <v>1045566</v>
      </c>
      <c r="BW81">
        <v>100920</v>
      </c>
      <c r="BX81">
        <v>123.16182622620001</v>
      </c>
      <c r="BY81">
        <v>121.0961256441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376797</CP_Inventory>
    <Fiscal_Year xmlns="c9744be7-b815-40bc-84fa-afc9c406d9bc">2016</Fiscal_Year>
    <CP_Backlog xmlns="c9744be7-b815-40bc-84fa-afc9c406d9bc">75794</CP_Backlog>
    <Creation_date xmlns="c9744be7-b815-40bc-84fa-afc9c406d9bc">2016-08-01T03:00:00-04:00</Creation_date>
    <Data_date xmlns="c9744be7-b815-40bc-84fa-afc9c406d9bc">2016-07-30T01:00:00-04:00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fef9c9dc-374b-4157-9e06-089f148416e5"/>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c9744be7-b815-40bc-84fa-afc9c406d9bc"/>
    <ds:schemaRef ds:uri="http://purl.org/dc/dcmityp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1,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2016-08-01T13:17:12Z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