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3.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4.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drawings/drawing5.xml" ContentType="application/vnd.openxmlformats-officedocument.drawing+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drawings/drawing6.xml" ContentType="application/vnd.openxmlformats-officedocument.drawing+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omments1.xml" ContentType="application/vnd.openxmlformats-officedocument.spreadsheetml.comments+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X:\BI\Reports\MMWR\"/>
    </mc:Choice>
  </mc:AlternateContent>
  <xr:revisionPtr revIDLastSave="0" documentId="8_{9E2519B1-37C0-4F35-A310-19BE8B2B8937}" xr6:coauthVersionLast="36" xr6:coauthVersionMax="36" xr10:uidLastSave="{00000000-0000-0000-0000-000000000000}"/>
  <bookViews>
    <workbookView xWindow="555" yWindow="-210" windowWidth="20010" windowHeight="13350" tabRatio="855" activeTab="1" xr2:uid="{00000000-000D-0000-FFFF-FFFF00000000}"/>
  </bookViews>
  <sheets>
    <sheet name="Legend" sheetId="81" r:id="rId1"/>
    <sheet name="Transformation" sheetId="7" r:id="rId2"/>
    <sheet name="Rating Bundle - SOJ" sheetId="84" r:id="rId3"/>
    <sheet name="Rating Bundle - SOO" sheetId="83" r:id="rId4"/>
    <sheet name="Rating Bundle - State" sheetId="72" r:id="rId5"/>
    <sheet name="Rating Bundle - SOJ - NWQ" sheetId="85" r:id="rId6"/>
    <sheet name="Rating Bundle - NWQ - State" sheetId="86" r:id="rId7"/>
    <sheet name="Traditional Aggregate (TA)" sheetId="35" r:id="rId8"/>
    <sheet name="TA-Regional Office" sheetId="77" r:id="rId9"/>
    <sheet name="Data" sheetId="80" r:id="rId10"/>
    <sheet name="Driver" sheetId="82" r:id="rId11"/>
    <sheet name="DT" sheetId="79" state="hidden" r:id="rId12"/>
  </sheets>
  <definedNames>
    <definedName name="DIST_B">Driver!$U$7:$U$9</definedName>
    <definedName name="DIST_B_N">Driver!$U$22:$U$25</definedName>
    <definedName name="DIST_CN">Driver!$I$39:$I$51</definedName>
    <definedName name="DIST_CN_NWQ">Driver!$X$131:$X$176</definedName>
    <definedName name="DIST_CN_NWQD">Driver!$Z$131:$Z$176</definedName>
    <definedName name="DIST_CN_NWQI">Driver!$Y$131:$Y$176</definedName>
    <definedName name="DIST_CN_ST">Driver!$O$36:$O$47</definedName>
    <definedName name="DIST_DEF">Driver!$B$2:$B$6</definedName>
    <definedName name="DIST_ID">Driver!$A$2:$A$6</definedName>
    <definedName name="DIST_NE">Driver!$I$3:$I$24</definedName>
    <definedName name="DIST_NE_NWQ">Driver!$X$3:$X$77</definedName>
    <definedName name="DIST_NE_NWQD">Driver!$Z$3:$Z$77</definedName>
    <definedName name="DIST_NE_NWQI">Driver!$Y$3:$Y$77</definedName>
    <definedName name="DIST_NE_ST">Driver!$O$3:$O$21</definedName>
    <definedName name="DIST_OT">Driver!$I$68</definedName>
    <definedName name="DIST_OT_N">Driver!$I$67:$I$68</definedName>
    <definedName name="DIST_OT_NWQ">Driver!$X$224:$X$226</definedName>
    <definedName name="DIST_OT_NWQD">Driver!$Z$224:$Z$226</definedName>
    <definedName name="DIST_OT_NWQI">Driver!$Y$224:$Y$226</definedName>
    <definedName name="DIST_OT_ST">Driver!$O$61</definedName>
    <definedName name="DIST_P">Driver!$U$3:$U$6</definedName>
    <definedName name="DIST_P_N">Driver!$U$17:$U$21</definedName>
    <definedName name="DIST_PC">Driver!$I$52:$I$65</definedName>
    <definedName name="DIST_PC_NWQ">Driver!$X$177:$X$223</definedName>
    <definedName name="DIST_PC_NWQD">Driver!$Z$177:$Z$223</definedName>
    <definedName name="DIST_PC_NWQI">Driver!$Y$177:$Y$223</definedName>
    <definedName name="DIST_PC_ST">Driver!$O$48:$O$59</definedName>
    <definedName name="DIST_Q">Driver!$U$10:$U$12</definedName>
    <definedName name="DIST_Q_N">Driver!$U$26:$U$29</definedName>
    <definedName name="DIST_SE">Driver!$I$25:$I$38</definedName>
    <definedName name="DIST_SE_NWQ">Driver!$X$78:$X$130</definedName>
    <definedName name="DIST_SE_NWQD">Driver!$Z$78:$Z$130</definedName>
    <definedName name="DIST_SE_NWQI">Driver!$Y$78:$Y$130</definedName>
    <definedName name="DIST_SE_ST">Driver!$O$22:$O$35</definedName>
    <definedName name="DS_NWQ">Driver!$C$15</definedName>
    <definedName name="DS_NWQD">Driver!$D$15</definedName>
    <definedName name="DS_NWQI">Driver!$C$16</definedName>
    <definedName name="DS_RO">Driver!$C$11</definedName>
    <definedName name="DS_RO_N">Driver!$C$46</definedName>
    <definedName name="DS_RO_STG">Driver!$C$13</definedName>
    <definedName name="DS_ST">Driver!$C$14</definedName>
    <definedName name="RH_BASE_F_STAT" localSheetId="9" hidden="1">Data!$A$1:$P$2015</definedName>
    <definedName name="RH_BASE_F_STAT" localSheetId="11" hidden="1">DT!$A$1:$A$2</definedName>
    <definedName name="RO">Driver!$H$2:$H$68</definedName>
    <definedName name="RO_D">Driver!$I$2:$I$68</definedName>
    <definedName name="SMD">Driver!$B$21:$B$25</definedName>
    <definedName name="SMI">Driver!$D$21:$D$25</definedName>
    <definedName name="SMS">Driver!$D$20</definedName>
    <definedName name="SMSA">Driver!$D$19</definedName>
    <definedName name="STATE">Driver!$N$2:$N$61</definedName>
    <definedName name="STATE_D">Driver!$O$2:$O$61</definedName>
    <definedName name="TA_1">Driver!$C$28</definedName>
    <definedName name="TA_20">Driver!$C$29</definedName>
    <definedName name="TA_21">Driver!$C$31</definedName>
    <definedName name="TA_22">Driver!$C$32</definedName>
    <definedName name="TA_23">Driver!$C$33</definedName>
    <definedName name="TA_24">Driver!$C$34</definedName>
    <definedName name="TA_25">Driver!$C$35</definedName>
    <definedName name="TA_26">Driver!$C$36</definedName>
    <definedName name="TA_30">Driver!$C$30</definedName>
    <definedName name="TA_31">Driver!$C$37</definedName>
    <definedName name="TA_32">Driver!$C$38</definedName>
    <definedName name="TA_33">Driver!$C$39</definedName>
    <definedName name="TA_34">Driver!$C$40</definedName>
    <definedName name="TA_35">Driver!$C$41</definedName>
    <definedName name="TA_36">Driver!$C$42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Z226" i="82" l="1"/>
  <c r="Z225" i="82"/>
  <c r="Z223" i="82"/>
  <c r="Z222" i="82"/>
  <c r="Z220" i="82"/>
  <c r="Z219" i="82"/>
  <c r="Z218" i="82"/>
  <c r="Z216" i="82"/>
  <c r="Z215" i="82"/>
  <c r="Z214" i="82"/>
  <c r="Z212" i="82"/>
  <c r="Z211" i="82"/>
  <c r="Z210" i="82"/>
  <c r="Z208" i="82"/>
  <c r="Z207" i="82"/>
  <c r="Z206" i="82"/>
  <c r="Z204" i="82"/>
  <c r="Z203" i="82"/>
  <c r="Z202" i="82"/>
  <c r="Z200" i="82"/>
  <c r="Z199" i="82"/>
  <c r="Z198" i="82"/>
  <c r="Z196" i="82"/>
  <c r="Z195" i="82"/>
  <c r="Z194" i="82"/>
  <c r="Z192" i="82"/>
  <c r="Z191" i="82"/>
  <c r="Z190" i="82"/>
  <c r="Z186" i="82"/>
  <c r="Z185" i="82"/>
  <c r="Z184" i="82"/>
  <c r="Z182" i="82"/>
  <c r="Z181" i="82"/>
  <c r="Z180" i="82"/>
  <c r="Z178" i="82"/>
  <c r="Z176" i="82"/>
  <c r="Z175" i="82"/>
  <c r="Z173" i="82"/>
  <c r="Z172" i="82"/>
  <c r="Z171" i="82"/>
  <c r="Z168" i="82"/>
  <c r="Z167" i="82"/>
  <c r="Z166" i="82"/>
  <c r="Z164" i="82"/>
  <c r="Z159" i="82"/>
  <c r="Z158" i="82"/>
  <c r="Z156" i="82"/>
  <c r="Z155" i="82"/>
  <c r="Z154" i="82"/>
  <c r="Z152" i="82"/>
  <c r="Z151" i="82"/>
  <c r="Z150" i="82"/>
  <c r="Z148" i="82"/>
  <c r="Z147" i="82"/>
  <c r="Z146" i="82"/>
  <c r="Z144" i="82"/>
  <c r="Z143" i="82"/>
  <c r="Z142" i="82"/>
  <c r="Z140" i="82"/>
  <c r="Z139" i="82"/>
  <c r="Z138" i="82"/>
  <c r="Z136" i="82"/>
  <c r="Z135" i="82"/>
  <c r="Z134" i="82"/>
  <c r="Z132" i="82"/>
  <c r="Z130" i="82"/>
  <c r="Z129" i="82"/>
  <c r="Z127" i="82"/>
  <c r="Z126" i="82"/>
  <c r="Z125" i="82"/>
  <c r="Z123" i="82"/>
  <c r="Z110" i="82"/>
  <c r="Z109" i="82"/>
  <c r="Z107" i="82"/>
  <c r="Z86" i="82"/>
  <c r="Z85" i="82"/>
  <c r="Z83" i="82"/>
  <c r="Z82" i="82"/>
  <c r="Z81" i="82"/>
  <c r="Z79" i="82"/>
  <c r="Z39" i="82"/>
  <c r="Z38" i="82"/>
  <c r="Z36" i="82"/>
  <c r="S70" i="77"/>
  <c r="R70" i="77"/>
  <c r="Q70" i="77"/>
  <c r="O70" i="77"/>
  <c r="N70" i="77"/>
  <c r="L70" i="77"/>
  <c r="K70" i="77"/>
  <c r="I70" i="77"/>
  <c r="H70" i="77"/>
  <c r="F70" i="77"/>
  <c r="E70" i="77"/>
  <c r="D70" i="77"/>
  <c r="C70" i="77"/>
  <c r="S69" i="77"/>
  <c r="R69" i="77"/>
  <c r="Q69" i="77"/>
  <c r="O69" i="77"/>
  <c r="N69" i="77"/>
  <c r="L69" i="77"/>
  <c r="K69" i="77"/>
  <c r="I69" i="77"/>
  <c r="H69" i="77"/>
  <c r="F69" i="77"/>
  <c r="E69" i="77"/>
  <c r="D69" i="77"/>
  <c r="C69" i="77"/>
  <c r="S46" i="77"/>
  <c r="R46" i="77"/>
  <c r="Q46" i="77"/>
  <c r="O46" i="77"/>
  <c r="N46" i="77"/>
  <c r="L46" i="77"/>
  <c r="K46" i="77"/>
  <c r="I46" i="77"/>
  <c r="H46" i="77"/>
  <c r="F46" i="77"/>
  <c r="E46" i="77"/>
  <c r="D46" i="77"/>
  <c r="C46" i="77"/>
  <c r="S45" i="77"/>
  <c r="R45" i="77"/>
  <c r="Q45" i="77"/>
  <c r="O45" i="77"/>
  <c r="N45" i="77"/>
  <c r="L45" i="77"/>
  <c r="K45" i="77"/>
  <c r="I45" i="77"/>
  <c r="H45" i="77"/>
  <c r="F45" i="77"/>
  <c r="E45" i="77"/>
  <c r="D45" i="77"/>
  <c r="C45" i="77"/>
  <c r="S44" i="77"/>
  <c r="R44" i="77"/>
  <c r="Q44" i="77"/>
  <c r="O44" i="77"/>
  <c r="N44" i="77"/>
  <c r="L44" i="77"/>
  <c r="K44" i="77"/>
  <c r="I44" i="77"/>
  <c r="H44" i="77"/>
  <c r="F44" i="77"/>
  <c r="E44" i="77"/>
  <c r="D44" i="77"/>
  <c r="C44" i="77"/>
  <c r="S43" i="77"/>
  <c r="R43" i="77"/>
  <c r="Q43" i="77"/>
  <c r="O43" i="77"/>
  <c r="N43" i="77"/>
  <c r="L43" i="77"/>
  <c r="K43" i="77"/>
  <c r="I43" i="77"/>
  <c r="H43" i="77"/>
  <c r="F43" i="77"/>
  <c r="E43" i="77"/>
  <c r="D43" i="77"/>
  <c r="C43" i="77"/>
  <c r="S42" i="77"/>
  <c r="R42" i="77"/>
  <c r="Q42" i="77"/>
  <c r="O42" i="77"/>
  <c r="N42" i="77"/>
  <c r="L42" i="77"/>
  <c r="K42" i="77"/>
  <c r="I42" i="77"/>
  <c r="H42" i="77"/>
  <c r="F42" i="77"/>
  <c r="E42" i="77"/>
  <c r="D42" i="77"/>
  <c r="C42" i="77"/>
  <c r="S41" i="77"/>
  <c r="R41" i="77"/>
  <c r="Q41" i="77"/>
  <c r="O41" i="77"/>
  <c r="N41" i="77"/>
  <c r="L41" i="77"/>
  <c r="K41" i="77"/>
  <c r="I41" i="77"/>
  <c r="H41" i="77"/>
  <c r="F41" i="77"/>
  <c r="E41" i="77"/>
  <c r="D41" i="77"/>
  <c r="C41" i="77"/>
  <c r="S40" i="77"/>
  <c r="R40" i="77"/>
  <c r="Q40" i="77"/>
  <c r="O40" i="77"/>
  <c r="N40" i="77"/>
  <c r="L40" i="77"/>
  <c r="K40" i="77"/>
  <c r="I40" i="77"/>
  <c r="H40" i="77"/>
  <c r="F40" i="77"/>
  <c r="E40" i="77"/>
  <c r="D40" i="77"/>
  <c r="C40" i="77"/>
  <c r="S39" i="77"/>
  <c r="R39" i="77"/>
  <c r="Q39" i="77"/>
  <c r="O39" i="77"/>
  <c r="N39" i="77"/>
  <c r="L39" i="77"/>
  <c r="K39" i="77"/>
  <c r="I39" i="77"/>
  <c r="H39" i="77"/>
  <c r="F39" i="77"/>
  <c r="E39" i="77"/>
  <c r="D39" i="77"/>
  <c r="C39" i="77"/>
  <c r="S38" i="77"/>
  <c r="R38" i="77"/>
  <c r="Q38" i="77"/>
  <c r="O38" i="77"/>
  <c r="N38" i="77"/>
  <c r="L38" i="77"/>
  <c r="K38" i="77"/>
  <c r="I38" i="77"/>
  <c r="H38" i="77"/>
  <c r="F38" i="77"/>
  <c r="E38" i="77"/>
  <c r="D38" i="77"/>
  <c r="C38" i="77"/>
  <c r="S37" i="77"/>
  <c r="R37" i="77"/>
  <c r="Q37" i="77"/>
  <c r="O37" i="77"/>
  <c r="N37" i="77"/>
  <c r="L37" i="77"/>
  <c r="K37" i="77"/>
  <c r="I37" i="77"/>
  <c r="H37" i="77"/>
  <c r="F37" i="77"/>
  <c r="E37" i="77"/>
  <c r="D37" i="77"/>
  <c r="C37" i="77"/>
  <c r="S36" i="77"/>
  <c r="R36" i="77"/>
  <c r="Q36" i="77"/>
  <c r="O36" i="77"/>
  <c r="N36" i="77"/>
  <c r="L36" i="77"/>
  <c r="K36" i="77"/>
  <c r="I36" i="77"/>
  <c r="H36" i="77"/>
  <c r="F36" i="77"/>
  <c r="E36" i="77"/>
  <c r="D36" i="77"/>
  <c r="C36" i="77"/>
  <c r="S35" i="77"/>
  <c r="R35" i="77"/>
  <c r="Q35" i="77"/>
  <c r="O35" i="77"/>
  <c r="N35" i="77"/>
  <c r="L35" i="77"/>
  <c r="K35" i="77"/>
  <c r="I35" i="77"/>
  <c r="H35" i="77"/>
  <c r="F35" i="77"/>
  <c r="E35" i="77"/>
  <c r="D35" i="77"/>
  <c r="C35" i="77"/>
  <c r="S34" i="77"/>
  <c r="R34" i="77"/>
  <c r="Q34" i="77"/>
  <c r="O34" i="77"/>
  <c r="N34" i="77"/>
  <c r="L34" i="77"/>
  <c r="K34" i="77"/>
  <c r="I34" i="77"/>
  <c r="H34" i="77"/>
  <c r="F34" i="77"/>
  <c r="E34" i="77"/>
  <c r="D34" i="77"/>
  <c r="C34" i="77"/>
  <c r="S33" i="77"/>
  <c r="R33" i="77"/>
  <c r="Q33" i="77"/>
  <c r="O33" i="77"/>
  <c r="N33" i="77"/>
  <c r="L33" i="77"/>
  <c r="K33" i="77"/>
  <c r="I33" i="77"/>
  <c r="H33" i="77"/>
  <c r="F33" i="77"/>
  <c r="E33" i="77"/>
  <c r="D33" i="77"/>
  <c r="C33" i="77"/>
  <c r="S32" i="77"/>
  <c r="R32" i="77"/>
  <c r="Q32" i="77"/>
  <c r="O32" i="77"/>
  <c r="N32" i="77"/>
  <c r="L32" i="77"/>
  <c r="K32" i="77"/>
  <c r="I32" i="77"/>
  <c r="H32" i="77"/>
  <c r="F32" i="77"/>
  <c r="E32" i="77"/>
  <c r="D32" i="77"/>
  <c r="C32" i="77"/>
  <c r="S30" i="77"/>
  <c r="R30" i="77"/>
  <c r="Q30" i="77"/>
  <c r="O30" i="77"/>
  <c r="N30" i="77"/>
  <c r="L30" i="77"/>
  <c r="K30" i="77"/>
  <c r="I30" i="77"/>
  <c r="H30" i="77"/>
  <c r="F30" i="77"/>
  <c r="E30" i="77"/>
  <c r="D30" i="77"/>
  <c r="C30" i="77"/>
  <c r="S29" i="77"/>
  <c r="R29" i="77"/>
  <c r="Q29" i="77"/>
  <c r="O29" i="77"/>
  <c r="N29" i="77"/>
  <c r="L29" i="77"/>
  <c r="K29" i="77"/>
  <c r="I29" i="77"/>
  <c r="H29" i="77"/>
  <c r="F29" i="77"/>
  <c r="E29" i="77"/>
  <c r="D29" i="77"/>
  <c r="C29" i="77"/>
  <c r="S28" i="77"/>
  <c r="R28" i="77"/>
  <c r="Q28" i="77"/>
  <c r="O28" i="77"/>
  <c r="N28" i="77"/>
  <c r="L28" i="77"/>
  <c r="K28" i="77"/>
  <c r="I28" i="77"/>
  <c r="H28" i="77"/>
  <c r="F28" i="77"/>
  <c r="E28" i="77"/>
  <c r="D28" i="77"/>
  <c r="C28" i="77"/>
  <c r="S27" i="77"/>
  <c r="R27" i="77"/>
  <c r="Q27" i="77"/>
  <c r="O27" i="77"/>
  <c r="N27" i="77"/>
  <c r="L27" i="77"/>
  <c r="K27" i="77"/>
  <c r="I27" i="77"/>
  <c r="H27" i="77"/>
  <c r="F27" i="77"/>
  <c r="E27" i="77"/>
  <c r="D27" i="77"/>
  <c r="C27" i="77"/>
  <c r="S26" i="77"/>
  <c r="R26" i="77"/>
  <c r="Q26" i="77"/>
  <c r="O26" i="77"/>
  <c r="N26" i="77"/>
  <c r="L26" i="77"/>
  <c r="K26" i="77"/>
  <c r="I26" i="77"/>
  <c r="H26" i="77"/>
  <c r="F26" i="77"/>
  <c r="E26" i="77"/>
  <c r="D26" i="77"/>
  <c r="C26" i="77"/>
  <c r="S25" i="77"/>
  <c r="R25" i="77"/>
  <c r="Q25" i="77"/>
  <c r="O25" i="77"/>
  <c r="N25" i="77"/>
  <c r="L25" i="77"/>
  <c r="K25" i="77"/>
  <c r="I25" i="77"/>
  <c r="H25" i="77"/>
  <c r="F25" i="77"/>
  <c r="E25" i="77"/>
  <c r="D25" i="77"/>
  <c r="C25" i="77"/>
  <c r="S24" i="77"/>
  <c r="R24" i="77"/>
  <c r="Q24" i="77"/>
  <c r="O24" i="77"/>
  <c r="N24" i="77"/>
  <c r="L24" i="77"/>
  <c r="K24" i="77"/>
  <c r="I24" i="77"/>
  <c r="H24" i="77"/>
  <c r="F24" i="77"/>
  <c r="E24" i="77"/>
  <c r="D24" i="77"/>
  <c r="C24" i="77"/>
  <c r="S23" i="77"/>
  <c r="R23" i="77"/>
  <c r="Q23" i="77"/>
  <c r="O23" i="77"/>
  <c r="N23" i="77"/>
  <c r="L23" i="77"/>
  <c r="K23" i="77"/>
  <c r="I23" i="77"/>
  <c r="H23" i="77"/>
  <c r="F23" i="77"/>
  <c r="E23" i="77"/>
  <c r="D23" i="77"/>
  <c r="C23" i="77"/>
  <c r="S22" i="77"/>
  <c r="R22" i="77"/>
  <c r="Q22" i="77"/>
  <c r="O22" i="77"/>
  <c r="N22" i="77"/>
  <c r="L22" i="77"/>
  <c r="K22" i="77"/>
  <c r="I22" i="77"/>
  <c r="H22" i="77"/>
  <c r="F22" i="77"/>
  <c r="E22" i="77"/>
  <c r="D22" i="77"/>
  <c r="C22" i="77"/>
  <c r="S21" i="77"/>
  <c r="R21" i="77"/>
  <c r="Q21" i="77"/>
  <c r="O21" i="77"/>
  <c r="N21" i="77"/>
  <c r="L21" i="77"/>
  <c r="K21" i="77"/>
  <c r="I21" i="77"/>
  <c r="H21" i="77"/>
  <c r="F21" i="77"/>
  <c r="E21" i="77"/>
  <c r="D21" i="77"/>
  <c r="C21" i="77"/>
  <c r="S20" i="77"/>
  <c r="R20" i="77"/>
  <c r="Q20" i="77"/>
  <c r="O20" i="77"/>
  <c r="N20" i="77"/>
  <c r="L20" i="77"/>
  <c r="K20" i="77"/>
  <c r="I20" i="77"/>
  <c r="H20" i="77"/>
  <c r="F20" i="77"/>
  <c r="E20" i="77"/>
  <c r="D20" i="77"/>
  <c r="C20" i="77"/>
  <c r="S19" i="77"/>
  <c r="R19" i="77"/>
  <c r="Q19" i="77"/>
  <c r="O19" i="77"/>
  <c r="N19" i="77"/>
  <c r="L19" i="77"/>
  <c r="K19" i="77"/>
  <c r="I19" i="77"/>
  <c r="H19" i="77"/>
  <c r="F19" i="77"/>
  <c r="E19" i="77"/>
  <c r="D19" i="77"/>
  <c r="C19" i="77"/>
  <c r="S18" i="77"/>
  <c r="R18" i="77"/>
  <c r="Q18" i="77"/>
  <c r="O18" i="77"/>
  <c r="N18" i="77"/>
  <c r="L18" i="77"/>
  <c r="K18" i="77"/>
  <c r="I18" i="77"/>
  <c r="H18" i="77"/>
  <c r="F18" i="77"/>
  <c r="E18" i="77"/>
  <c r="D18" i="77"/>
  <c r="C18" i="77"/>
  <c r="S17" i="77"/>
  <c r="R17" i="77"/>
  <c r="Q17" i="77"/>
  <c r="O17" i="77"/>
  <c r="N17" i="77"/>
  <c r="L17" i="77"/>
  <c r="K17" i="77"/>
  <c r="I17" i="77"/>
  <c r="H17" i="77"/>
  <c r="F17" i="77"/>
  <c r="E17" i="77"/>
  <c r="D17" i="77"/>
  <c r="C17" i="77"/>
  <c r="S16" i="77"/>
  <c r="R16" i="77"/>
  <c r="Q16" i="77"/>
  <c r="O16" i="77"/>
  <c r="N16" i="77"/>
  <c r="L16" i="77"/>
  <c r="K16" i="77"/>
  <c r="I16" i="77"/>
  <c r="H16" i="77"/>
  <c r="F16" i="77"/>
  <c r="E16" i="77"/>
  <c r="D16" i="77"/>
  <c r="C16" i="77"/>
  <c r="S15" i="77"/>
  <c r="R15" i="77"/>
  <c r="Q15" i="77"/>
  <c r="O15" i="77"/>
  <c r="N15" i="77"/>
  <c r="L15" i="77"/>
  <c r="K15" i="77"/>
  <c r="I15" i="77"/>
  <c r="H15" i="77"/>
  <c r="F15" i="77"/>
  <c r="E15" i="77"/>
  <c r="D15" i="77"/>
  <c r="C15" i="77"/>
  <c r="S14" i="77"/>
  <c r="R14" i="77"/>
  <c r="Q14" i="77"/>
  <c r="O14" i="77"/>
  <c r="N14" i="77"/>
  <c r="L14" i="77"/>
  <c r="K14" i="77"/>
  <c r="I14" i="77"/>
  <c r="H14" i="77"/>
  <c r="F14" i="77"/>
  <c r="E14" i="77"/>
  <c r="D14" i="77"/>
  <c r="C14" i="77"/>
  <c r="S13" i="77"/>
  <c r="R13" i="77"/>
  <c r="Q13" i="77"/>
  <c r="O13" i="77"/>
  <c r="N13" i="77"/>
  <c r="L13" i="77"/>
  <c r="K13" i="77"/>
  <c r="I13" i="77"/>
  <c r="H13" i="77"/>
  <c r="F13" i="77"/>
  <c r="E13" i="77"/>
  <c r="D13" i="77"/>
  <c r="C13" i="77"/>
  <c r="S12" i="77"/>
  <c r="R12" i="77"/>
  <c r="Q12" i="77"/>
  <c r="O12" i="77"/>
  <c r="N12" i="77"/>
  <c r="L12" i="77"/>
  <c r="K12" i="77"/>
  <c r="I12" i="77"/>
  <c r="H12" i="77"/>
  <c r="F12" i="77"/>
  <c r="E12" i="77"/>
  <c r="D12" i="77"/>
  <c r="C12" i="77"/>
  <c r="S11" i="77"/>
  <c r="R11" i="77"/>
  <c r="Q11" i="77"/>
  <c r="O11" i="77"/>
  <c r="N11" i="77"/>
  <c r="L11" i="77"/>
  <c r="K11" i="77"/>
  <c r="I11" i="77"/>
  <c r="H11" i="77"/>
  <c r="F11" i="77"/>
  <c r="E11" i="77"/>
  <c r="D11" i="77"/>
  <c r="C11" i="77"/>
  <c r="S10" i="77"/>
  <c r="R10" i="77"/>
  <c r="Q10" i="77"/>
  <c r="O10" i="77"/>
  <c r="N10" i="77"/>
  <c r="L10" i="77"/>
  <c r="K10" i="77"/>
  <c r="I10" i="77"/>
  <c r="H10" i="77"/>
  <c r="F10" i="77"/>
  <c r="E10" i="77"/>
  <c r="D10" i="77"/>
  <c r="C10" i="77"/>
  <c r="M37" i="77" l="1"/>
  <c r="G39" i="77"/>
  <c r="P45" i="77"/>
  <c r="G40" i="77"/>
  <c r="G44" i="77"/>
  <c r="M44" i="77"/>
  <c r="M70" i="77"/>
  <c r="J33" i="77"/>
  <c r="M38" i="77"/>
  <c r="J40" i="77"/>
  <c r="G42" i="77"/>
  <c r="M42" i="77"/>
  <c r="P21" i="77"/>
  <c r="G32" i="77"/>
  <c r="P34" i="77"/>
  <c r="M35" i="77"/>
  <c r="J37" i="77"/>
  <c r="M69" i="77"/>
  <c r="G21" i="77"/>
  <c r="J32" i="77"/>
  <c r="P13" i="77"/>
  <c r="P38" i="77"/>
  <c r="M39" i="77"/>
  <c r="J41" i="77"/>
  <c r="M46" i="77"/>
  <c r="M34" i="77"/>
  <c r="G35" i="77"/>
  <c r="P39" i="77"/>
  <c r="J43" i="77"/>
  <c r="P43" i="77"/>
  <c r="G11" i="77"/>
  <c r="P11" i="77"/>
  <c r="P22" i="77"/>
  <c r="J26" i="77"/>
  <c r="G33" i="77"/>
  <c r="M33" i="77"/>
  <c r="J36" i="77"/>
  <c r="M40" i="77"/>
  <c r="P41" i="77"/>
  <c r="M11" i="77"/>
  <c r="M18" i="77"/>
  <c r="G36" i="77"/>
  <c r="M41" i="77"/>
  <c r="P42" i="77"/>
  <c r="J44" i="77"/>
  <c r="P69" i="77"/>
  <c r="J35" i="77"/>
  <c r="P35" i="77"/>
  <c r="P37" i="77"/>
  <c r="J69" i="77"/>
  <c r="G70" i="77"/>
  <c r="G69" i="77"/>
  <c r="J70" i="77"/>
  <c r="P70" i="77"/>
  <c r="G37" i="77"/>
  <c r="G41" i="77"/>
  <c r="J42" i="77"/>
  <c r="G43" i="77"/>
  <c r="M43" i="77"/>
  <c r="J46" i="77"/>
  <c r="J19" i="77"/>
  <c r="J16" i="77"/>
  <c r="P16" i="77"/>
  <c r="G18" i="77"/>
  <c r="J24" i="77"/>
  <c r="P24" i="77"/>
  <c r="G30" i="77"/>
  <c r="M30" i="77"/>
  <c r="P32" i="77"/>
  <c r="J34" i="77"/>
  <c r="P36" i="77"/>
  <c r="J38" i="77"/>
  <c r="J39" i="77"/>
  <c r="P40" i="77"/>
  <c r="P44" i="77"/>
  <c r="J45" i="77"/>
  <c r="G12" i="77"/>
  <c r="G16" i="77"/>
  <c r="G20" i="77"/>
  <c r="M20" i="77"/>
  <c r="J22" i="77"/>
  <c r="M32" i="77"/>
  <c r="G34" i="77"/>
  <c r="M36" i="77"/>
  <c r="G38" i="77"/>
  <c r="P33" i="77"/>
  <c r="G45" i="77"/>
  <c r="P46" i="77"/>
  <c r="M45" i="77"/>
  <c r="G46" i="77"/>
  <c r="M10" i="77"/>
  <c r="J27" i="77"/>
  <c r="M29" i="77"/>
  <c r="J14" i="77"/>
  <c r="P15" i="77"/>
  <c r="J18" i="77"/>
  <c r="G27" i="77"/>
  <c r="P29" i="77"/>
  <c r="J30" i="77"/>
  <c r="P30" i="77"/>
  <c r="G13" i="77"/>
  <c r="M19" i="77"/>
  <c r="G26" i="77"/>
  <c r="M12" i="77"/>
  <c r="P14" i="77"/>
  <c r="M16" i="77"/>
  <c r="G19" i="77"/>
  <c r="J12" i="77"/>
  <c r="P12" i="77"/>
  <c r="G14" i="77"/>
  <c r="M14" i="77"/>
  <c r="J15" i="77"/>
  <c r="G17" i="77"/>
  <c r="P18" i="77"/>
  <c r="G23" i="77"/>
  <c r="M23" i="77"/>
  <c r="M24" i="77"/>
  <c r="J25" i="77"/>
  <c r="P25" i="77"/>
  <c r="J28" i="77"/>
  <c r="J10" i="77"/>
  <c r="M15" i="77"/>
  <c r="P17" i="77"/>
  <c r="J20" i="77"/>
  <c r="P20" i="77"/>
  <c r="G22" i="77"/>
  <c r="J23" i="77"/>
  <c r="P23" i="77"/>
  <c r="G25" i="77"/>
  <c r="P26" i="77"/>
  <c r="M28" i="77"/>
  <c r="G10" i="77"/>
  <c r="J11" i="77"/>
  <c r="M13" i="77"/>
  <c r="M17" i="77"/>
  <c r="P19" i="77"/>
  <c r="M21" i="77"/>
  <c r="M22" i="77"/>
  <c r="G24" i="77"/>
  <c r="M25" i="77"/>
  <c r="M26" i="77"/>
  <c r="P27" i="77"/>
  <c r="G29" i="77"/>
  <c r="J13" i="77"/>
  <c r="G15" i="77"/>
  <c r="J17" i="77"/>
  <c r="J21" i="77"/>
  <c r="M27" i="77"/>
  <c r="P28" i="77"/>
  <c r="P10" i="77"/>
  <c r="G28" i="77"/>
  <c r="J29" i="77"/>
  <c r="D40" i="35"/>
  <c r="D41" i="35"/>
  <c r="D42" i="35"/>
  <c r="D39" i="35"/>
  <c r="C42" i="35" l="1"/>
  <c r="C41" i="35"/>
  <c r="C40" i="35"/>
  <c r="C39" i="35"/>
  <c r="C28" i="35" l="1"/>
  <c r="N11" i="35" l="1"/>
  <c r="M11" i="35"/>
  <c r="N10" i="35"/>
  <c r="M10" i="35"/>
  <c r="N9" i="35"/>
  <c r="M9" i="35"/>
  <c r="N8" i="35"/>
  <c r="M8" i="35"/>
  <c r="N6" i="35"/>
  <c r="M6" i="35"/>
  <c r="M7" i="35"/>
  <c r="N17" i="35"/>
  <c r="M17" i="35"/>
  <c r="N16" i="35"/>
  <c r="N15" i="35"/>
  <c r="M16" i="35"/>
  <c r="M15" i="35"/>
  <c r="M12" i="35" l="1"/>
  <c r="G2" i="77"/>
  <c r="C2" i="77"/>
  <c r="H2" i="35"/>
  <c r="B2" i="35"/>
  <c r="H21" i="7" l="1"/>
  <c r="G21" i="7"/>
  <c r="D80" i="77" l="1"/>
  <c r="D79" i="77"/>
  <c r="D78" i="77"/>
  <c r="D77" i="77"/>
  <c r="D76" i="77"/>
  <c r="R7" i="77" l="1"/>
  <c r="N20" i="35" l="1"/>
  <c r="B4" i="7" l="1"/>
  <c r="J3" i="86" l="1"/>
  <c r="J3" i="85"/>
  <c r="I31" i="7"/>
  <c r="H31" i="7"/>
  <c r="G31" i="7"/>
  <c r="I30" i="7"/>
  <c r="H30" i="7"/>
  <c r="G30" i="7"/>
  <c r="I29" i="7"/>
  <c r="H29" i="7"/>
  <c r="G29" i="7"/>
  <c r="I28" i="7"/>
  <c r="H28" i="7"/>
  <c r="G28" i="7"/>
  <c r="I27" i="7"/>
  <c r="H27" i="7"/>
  <c r="G27" i="7"/>
  <c r="G23" i="7"/>
  <c r="H23" i="7"/>
  <c r="I23" i="7"/>
  <c r="G24" i="7"/>
  <c r="H24" i="7"/>
  <c r="J24" i="7" s="1"/>
  <c r="I24" i="7"/>
  <c r="G25" i="7"/>
  <c r="H25" i="7"/>
  <c r="I25" i="7"/>
  <c r="G26" i="7"/>
  <c r="H26" i="7"/>
  <c r="I26" i="7"/>
  <c r="I22" i="7"/>
  <c r="H22" i="7"/>
  <c r="G22" i="7"/>
  <c r="I16" i="7"/>
  <c r="H16" i="7"/>
  <c r="I15" i="7"/>
  <c r="H15" i="7"/>
  <c r="I19" i="7"/>
  <c r="H19" i="7"/>
  <c r="I18" i="7"/>
  <c r="H18" i="7"/>
  <c r="I17" i="7"/>
  <c r="H17" i="7"/>
  <c r="I7" i="7"/>
  <c r="H7" i="7"/>
  <c r="I8" i="7"/>
  <c r="H8" i="7"/>
  <c r="I9" i="7"/>
  <c r="H9" i="7"/>
  <c r="I10" i="7"/>
  <c r="H10" i="7"/>
  <c r="I12" i="7"/>
  <c r="H12" i="7"/>
  <c r="I13" i="7"/>
  <c r="H13" i="7"/>
  <c r="I14" i="7"/>
  <c r="H14" i="7"/>
  <c r="Z163" i="82"/>
  <c r="Z162" i="82"/>
  <c r="Z160" i="82"/>
  <c r="Z106" i="82"/>
  <c r="Z105" i="82"/>
  <c r="Z103" i="82"/>
  <c r="Z102" i="82"/>
  <c r="Z101" i="82"/>
  <c r="Z99" i="82"/>
  <c r="J29" i="7" l="1"/>
  <c r="J27" i="7"/>
  <c r="J31" i="7"/>
  <c r="J28" i="7"/>
  <c r="J30" i="7"/>
  <c r="J22" i="7"/>
  <c r="J25" i="7"/>
  <c r="J23" i="7"/>
  <c r="J26" i="7"/>
  <c r="Z77" i="82"/>
  <c r="Z76" i="82"/>
  <c r="Z74" i="82"/>
  <c r="Z60" i="82"/>
  <c r="Z59" i="82"/>
  <c r="Z57" i="82"/>
  <c r="Z43" i="82"/>
  <c r="Z42" i="82"/>
  <c r="Z40" i="82"/>
  <c r="Z23" i="82"/>
  <c r="Z22" i="82"/>
  <c r="Z20" i="82"/>
  <c r="Z19" i="82"/>
  <c r="Z18" i="82"/>
  <c r="Z16" i="82"/>
  <c r="C16" i="82"/>
  <c r="Z122" i="82"/>
  <c r="Z121" i="82"/>
  <c r="Z119" i="82"/>
  <c r="Z118" i="82"/>
  <c r="Z117" i="82"/>
  <c r="Z115" i="82"/>
  <c r="Z114" i="82"/>
  <c r="Z113" i="82"/>
  <c r="Z111" i="82"/>
  <c r="Z98" i="82"/>
  <c r="Z97" i="82"/>
  <c r="Z95" i="82"/>
  <c r="Z94" i="82"/>
  <c r="Z93" i="82"/>
  <c r="Z91" i="82"/>
  <c r="Z90" i="82"/>
  <c r="Z89" i="82"/>
  <c r="Z87" i="82"/>
  <c r="D15" i="82"/>
  <c r="C15" i="82"/>
  <c r="C71" i="86"/>
  <c r="C85" i="86"/>
  <c r="A65" i="86"/>
  <c r="A24" i="86"/>
  <c r="A72" i="86"/>
  <c r="C78" i="86"/>
  <c r="A74" i="86"/>
  <c r="A69" i="86"/>
  <c r="C73" i="86"/>
  <c r="A66" i="86"/>
  <c r="A70" i="86"/>
  <c r="A76" i="86"/>
  <c r="C83" i="86"/>
  <c r="A88" i="86"/>
  <c r="A86" i="86"/>
  <c r="A67" i="86"/>
  <c r="A41" i="86"/>
  <c r="A22" i="86"/>
  <c r="A64" i="86"/>
  <c r="C75" i="86"/>
  <c r="A29" i="86"/>
  <c r="A44" i="86"/>
  <c r="A89" i="86"/>
  <c r="A38" i="86"/>
  <c r="C87" i="86"/>
  <c r="A50" i="86"/>
  <c r="A63" i="86"/>
  <c r="C74" i="86"/>
  <c r="C84" i="86"/>
  <c r="A60" i="86"/>
  <c r="C66" i="86"/>
  <c r="A77" i="86"/>
  <c r="A21" i="86"/>
  <c r="A85" i="86"/>
  <c r="D71" i="86"/>
  <c r="C68" i="86"/>
  <c r="A80" i="86"/>
  <c r="A71" i="86"/>
  <c r="D74" i="86"/>
  <c r="A84" i="86"/>
  <c r="A87" i="86"/>
  <c r="A59" i="86"/>
  <c r="A79" i="86"/>
  <c r="C77" i="86"/>
  <c r="A31" i="86"/>
  <c r="C64" i="86"/>
  <c r="C82" i="86"/>
  <c r="A82" i="86"/>
  <c r="A83" i="86"/>
  <c r="C69" i="86"/>
  <c r="C67" i="86"/>
  <c r="A78" i="86"/>
  <c r="A68" i="86"/>
  <c r="C65" i="86"/>
  <c r="C76" i="86"/>
  <c r="A75" i="86"/>
  <c r="A81" i="86"/>
  <c r="A73" i="86"/>
  <c r="C63" i="86"/>
  <c r="C70" i="86"/>
  <c r="C72" i="86"/>
  <c r="C81" i="86"/>
  <c r="D88" i="86"/>
  <c r="C79" i="86"/>
  <c r="C88" i="86"/>
  <c r="A61" i="86"/>
  <c r="C86" i="86"/>
  <c r="D70" i="86"/>
  <c r="Z73" i="82" l="1"/>
  <c r="Z72" i="82"/>
  <c r="Z70" i="82"/>
  <c r="Z69" i="82"/>
  <c r="Z68" i="82"/>
  <c r="Z66" i="82"/>
  <c r="Z65" i="82"/>
  <c r="Z64" i="82"/>
  <c r="Z61" i="82"/>
  <c r="Z56" i="82"/>
  <c r="Z55" i="82"/>
  <c r="Z52" i="82"/>
  <c r="Z51" i="82"/>
  <c r="Z50" i="82"/>
  <c r="Z48" i="82"/>
  <c r="Z47" i="82"/>
  <c r="Z46" i="82"/>
  <c r="Z44" i="82"/>
  <c r="Z35" i="82"/>
  <c r="Z34" i="82"/>
  <c r="Z32" i="82"/>
  <c r="Z31" i="82"/>
  <c r="Z30" i="82"/>
  <c r="Z28" i="82"/>
  <c r="Z24" i="82"/>
  <c r="Z12" i="82"/>
  <c r="Z27" i="82"/>
  <c r="Z26" i="82"/>
  <c r="Z15" i="82"/>
  <c r="Z14" i="82"/>
  <c r="Z11" i="82"/>
  <c r="Z10" i="82"/>
  <c r="Z8" i="82"/>
  <c r="Z7" i="82"/>
  <c r="Z6" i="82"/>
  <c r="Z4" i="82"/>
  <c r="D69" i="86"/>
  <c r="D78" i="86"/>
  <c r="D64" i="86"/>
  <c r="D77" i="86"/>
  <c r="D81" i="86"/>
  <c r="D72" i="86"/>
  <c r="D65" i="86"/>
  <c r="D86" i="86"/>
  <c r="A62" i="86"/>
  <c r="D73" i="86"/>
  <c r="D85" i="86"/>
  <c r="D83" i="86"/>
  <c r="D67" i="86"/>
  <c r="D66" i="86"/>
  <c r="D87" i="86"/>
  <c r="D76" i="86"/>
  <c r="D84" i="86"/>
  <c r="D79" i="86"/>
  <c r="D75" i="86"/>
  <c r="D82" i="86"/>
  <c r="D68" i="86"/>
  <c r="D63" i="86"/>
  <c r="D20" i="82" l="1"/>
  <c r="S71" i="77"/>
  <c r="S68" i="77"/>
  <c r="S67" i="77"/>
  <c r="S66" i="77"/>
  <c r="S65" i="77"/>
  <c r="S64" i="77"/>
  <c r="S63" i="77"/>
  <c r="S62" i="77"/>
  <c r="S61" i="77"/>
  <c r="S60" i="77"/>
  <c r="S59" i="77"/>
  <c r="S58" i="77"/>
  <c r="S57" i="77"/>
  <c r="S56" i="77"/>
  <c r="S55" i="77"/>
  <c r="S54" i="77"/>
  <c r="S53" i="77"/>
  <c r="S52" i="77"/>
  <c r="S51" i="77"/>
  <c r="S50" i="77"/>
  <c r="S49" i="77"/>
  <c r="S48" i="77"/>
  <c r="S47" i="77"/>
  <c r="S31" i="77"/>
  <c r="S9" i="77"/>
  <c r="S8" i="77"/>
  <c r="S7" i="77"/>
  <c r="S80" i="77"/>
  <c r="S79" i="77"/>
  <c r="S78" i="77"/>
  <c r="S77" i="77"/>
  <c r="S76" i="77"/>
  <c r="E80" i="77"/>
  <c r="E79" i="77"/>
  <c r="E78" i="77"/>
  <c r="E77" i="77"/>
  <c r="E76" i="77"/>
  <c r="F80" i="77"/>
  <c r="F79" i="77"/>
  <c r="F78" i="77"/>
  <c r="F77" i="77"/>
  <c r="F76" i="77"/>
  <c r="H80" i="77"/>
  <c r="H79" i="77"/>
  <c r="H78" i="77"/>
  <c r="H77" i="77"/>
  <c r="H76" i="77"/>
  <c r="I80" i="77"/>
  <c r="I79" i="77"/>
  <c r="I78" i="77"/>
  <c r="I77" i="77"/>
  <c r="I76" i="77"/>
  <c r="K80" i="77"/>
  <c r="K79" i="77"/>
  <c r="K78" i="77"/>
  <c r="K77" i="77"/>
  <c r="K76" i="77"/>
  <c r="L80" i="77"/>
  <c r="L79" i="77"/>
  <c r="L78" i="77"/>
  <c r="L77" i="77"/>
  <c r="L76" i="77"/>
  <c r="N80" i="77"/>
  <c r="N79" i="77"/>
  <c r="N78" i="77"/>
  <c r="N77" i="77"/>
  <c r="N76" i="77"/>
  <c r="O80" i="77"/>
  <c r="O79" i="77"/>
  <c r="O78" i="77"/>
  <c r="O77" i="77"/>
  <c r="O76" i="77"/>
  <c r="Q80" i="77"/>
  <c r="Q79" i="77"/>
  <c r="Q78" i="77"/>
  <c r="Q77" i="77"/>
  <c r="Q76" i="77"/>
  <c r="R80" i="77"/>
  <c r="R79" i="77"/>
  <c r="R78" i="77"/>
  <c r="R77" i="77"/>
  <c r="R76" i="77"/>
  <c r="R71" i="77"/>
  <c r="R68" i="77"/>
  <c r="R67" i="77"/>
  <c r="R66" i="77"/>
  <c r="R65" i="77"/>
  <c r="R64" i="77"/>
  <c r="R63" i="77"/>
  <c r="R62" i="77"/>
  <c r="R61" i="77"/>
  <c r="R60" i="77"/>
  <c r="R59" i="77"/>
  <c r="R58" i="77"/>
  <c r="R57" i="77"/>
  <c r="R56" i="77"/>
  <c r="R55" i="77"/>
  <c r="R54" i="77"/>
  <c r="R53" i="77"/>
  <c r="R52" i="77"/>
  <c r="R51" i="77"/>
  <c r="R50" i="77"/>
  <c r="R49" i="77"/>
  <c r="R48" i="77"/>
  <c r="R47" i="77"/>
  <c r="R31" i="77"/>
  <c r="R9" i="77"/>
  <c r="R8" i="77"/>
  <c r="Q71" i="77"/>
  <c r="Q68" i="77"/>
  <c r="Q67" i="77"/>
  <c r="Q66" i="77"/>
  <c r="Q65" i="77"/>
  <c r="Q64" i="77"/>
  <c r="Q63" i="77"/>
  <c r="Q62" i="77"/>
  <c r="Q61" i="77"/>
  <c r="Q60" i="77"/>
  <c r="Q59" i="77"/>
  <c r="Q58" i="77"/>
  <c r="Q57" i="77"/>
  <c r="Q56" i="77"/>
  <c r="Q55" i="77"/>
  <c r="Q54" i="77"/>
  <c r="Q53" i="77"/>
  <c r="Q52" i="77"/>
  <c r="Q51" i="77"/>
  <c r="Q50" i="77"/>
  <c r="Q49" i="77"/>
  <c r="Q48" i="77"/>
  <c r="Q47" i="77"/>
  <c r="Q31" i="77"/>
  <c r="Q9" i="77"/>
  <c r="Q8" i="77"/>
  <c r="Q7" i="77"/>
  <c r="O71" i="77"/>
  <c r="O68" i="77"/>
  <c r="O67" i="77"/>
  <c r="O66" i="77"/>
  <c r="O65" i="77"/>
  <c r="O64" i="77"/>
  <c r="O63" i="77"/>
  <c r="O62" i="77"/>
  <c r="O61" i="77"/>
  <c r="O60" i="77"/>
  <c r="O59" i="77"/>
  <c r="O58" i="77"/>
  <c r="O57" i="77"/>
  <c r="O56" i="77"/>
  <c r="O55" i="77"/>
  <c r="O54" i="77"/>
  <c r="O53" i="77"/>
  <c r="O52" i="77"/>
  <c r="O51" i="77"/>
  <c r="O50" i="77"/>
  <c r="O49" i="77"/>
  <c r="O48" i="77"/>
  <c r="O47" i="77"/>
  <c r="O31" i="77"/>
  <c r="O9" i="77"/>
  <c r="O8" i="77"/>
  <c r="O7" i="77"/>
  <c r="N71" i="77"/>
  <c r="N68" i="77"/>
  <c r="N67" i="77"/>
  <c r="N66" i="77"/>
  <c r="N65" i="77"/>
  <c r="N64" i="77"/>
  <c r="N63" i="77"/>
  <c r="N62" i="77"/>
  <c r="N61" i="77"/>
  <c r="N60" i="77"/>
  <c r="N59" i="77"/>
  <c r="N58" i="77"/>
  <c r="N57" i="77"/>
  <c r="N56" i="77"/>
  <c r="N55" i="77"/>
  <c r="N54" i="77"/>
  <c r="N53" i="77"/>
  <c r="N52" i="77"/>
  <c r="N51" i="77"/>
  <c r="N50" i="77"/>
  <c r="N49" i="77"/>
  <c r="N48" i="77"/>
  <c r="N47" i="77"/>
  <c r="N31" i="77"/>
  <c r="N9" i="77"/>
  <c r="N8" i="77"/>
  <c r="N7" i="77"/>
  <c r="L71" i="77"/>
  <c r="L68" i="77"/>
  <c r="L67" i="77"/>
  <c r="L66" i="77"/>
  <c r="L65" i="77"/>
  <c r="L64" i="77"/>
  <c r="L63" i="77"/>
  <c r="L62" i="77"/>
  <c r="L61" i="77"/>
  <c r="L60" i="77"/>
  <c r="L59" i="77"/>
  <c r="L58" i="77"/>
  <c r="L57" i="77"/>
  <c r="L56" i="77"/>
  <c r="L55" i="77"/>
  <c r="L54" i="77"/>
  <c r="L53" i="77"/>
  <c r="L52" i="77"/>
  <c r="L51" i="77"/>
  <c r="L50" i="77"/>
  <c r="L49" i="77"/>
  <c r="L48" i="77"/>
  <c r="L47" i="77"/>
  <c r="L31" i="77"/>
  <c r="L9" i="77"/>
  <c r="L8" i="77"/>
  <c r="L7" i="77"/>
  <c r="K71" i="77"/>
  <c r="K68" i="77"/>
  <c r="K67" i="77"/>
  <c r="K66" i="77"/>
  <c r="K65" i="77"/>
  <c r="K64" i="77"/>
  <c r="K63" i="77"/>
  <c r="K62" i="77"/>
  <c r="K61" i="77"/>
  <c r="K60" i="77"/>
  <c r="K59" i="77"/>
  <c r="K58" i="77"/>
  <c r="K57" i="77"/>
  <c r="K56" i="77"/>
  <c r="K55" i="77"/>
  <c r="K54" i="77"/>
  <c r="K53" i="77"/>
  <c r="K52" i="77"/>
  <c r="K51" i="77"/>
  <c r="K50" i="77"/>
  <c r="K49" i="77"/>
  <c r="K48" i="77"/>
  <c r="K47" i="77"/>
  <c r="K31" i="77"/>
  <c r="K9" i="77"/>
  <c r="K8" i="77"/>
  <c r="K7" i="77"/>
  <c r="I71" i="77"/>
  <c r="I68" i="77"/>
  <c r="I67" i="77"/>
  <c r="I66" i="77"/>
  <c r="I65" i="77"/>
  <c r="I64" i="77"/>
  <c r="I63" i="77"/>
  <c r="I62" i="77"/>
  <c r="I61" i="77"/>
  <c r="I60" i="77"/>
  <c r="I59" i="77"/>
  <c r="I58" i="77"/>
  <c r="I57" i="77"/>
  <c r="I56" i="77"/>
  <c r="I55" i="77"/>
  <c r="I54" i="77"/>
  <c r="I53" i="77"/>
  <c r="I52" i="77"/>
  <c r="I51" i="77"/>
  <c r="I50" i="77"/>
  <c r="I49" i="77"/>
  <c r="I48" i="77"/>
  <c r="I47" i="77"/>
  <c r="I31" i="77"/>
  <c r="I9" i="77"/>
  <c r="I8" i="77"/>
  <c r="I7" i="77"/>
  <c r="H71" i="77"/>
  <c r="H68" i="77"/>
  <c r="H67" i="77"/>
  <c r="H66" i="77"/>
  <c r="H65" i="77"/>
  <c r="H64" i="77"/>
  <c r="H63" i="77"/>
  <c r="H62" i="77"/>
  <c r="H61" i="77"/>
  <c r="H60" i="77"/>
  <c r="H59" i="77"/>
  <c r="H58" i="77"/>
  <c r="H57" i="77"/>
  <c r="H56" i="77"/>
  <c r="H55" i="77"/>
  <c r="H54" i="77"/>
  <c r="H53" i="77"/>
  <c r="H52" i="77"/>
  <c r="H51" i="77"/>
  <c r="H50" i="77"/>
  <c r="H49" i="77"/>
  <c r="H48" i="77"/>
  <c r="H47" i="77"/>
  <c r="H31" i="77"/>
  <c r="H9" i="77"/>
  <c r="H8" i="77"/>
  <c r="H7" i="77"/>
  <c r="F71" i="77"/>
  <c r="F68" i="77"/>
  <c r="F67" i="77"/>
  <c r="F66" i="77"/>
  <c r="F65" i="77"/>
  <c r="F64" i="77"/>
  <c r="F63" i="77"/>
  <c r="F62" i="77"/>
  <c r="F61" i="77"/>
  <c r="F60" i="77"/>
  <c r="F59" i="77"/>
  <c r="F58" i="77"/>
  <c r="F57" i="77"/>
  <c r="F56" i="77"/>
  <c r="F55" i="77"/>
  <c r="F54" i="77"/>
  <c r="F53" i="77"/>
  <c r="F52" i="77"/>
  <c r="F51" i="77"/>
  <c r="F50" i="77"/>
  <c r="F49" i="77"/>
  <c r="F48" i="77"/>
  <c r="F47" i="77"/>
  <c r="F31" i="77"/>
  <c r="F9" i="77"/>
  <c r="F8" i="77"/>
  <c r="F7" i="77"/>
  <c r="E71" i="77"/>
  <c r="E68" i="77"/>
  <c r="E67" i="77"/>
  <c r="E66" i="77"/>
  <c r="E65" i="77"/>
  <c r="E64" i="77"/>
  <c r="E63" i="77"/>
  <c r="E62" i="77"/>
  <c r="E61" i="77"/>
  <c r="E60" i="77"/>
  <c r="E59" i="77"/>
  <c r="E58" i="77"/>
  <c r="E57" i="77"/>
  <c r="E56" i="77"/>
  <c r="E55" i="77"/>
  <c r="E54" i="77"/>
  <c r="E53" i="77"/>
  <c r="E52" i="77"/>
  <c r="E51" i="77"/>
  <c r="E50" i="77"/>
  <c r="E49" i="77"/>
  <c r="E48" i="77"/>
  <c r="E47" i="77"/>
  <c r="E31" i="77"/>
  <c r="E9" i="77"/>
  <c r="E8" i="77"/>
  <c r="E7" i="77"/>
  <c r="C8" i="77"/>
  <c r="F82" i="86" l="1"/>
  <c r="F74" i="86"/>
  <c r="E66" i="86"/>
  <c r="I66" i="86" s="1"/>
  <c r="F81" i="86"/>
  <c r="E73" i="86"/>
  <c r="L73" i="86" s="1"/>
  <c r="F65" i="86"/>
  <c r="F84" i="86"/>
  <c r="F72" i="86"/>
  <c r="E64" i="86"/>
  <c r="I64" i="86" s="1"/>
  <c r="E83" i="86"/>
  <c r="L83" i="86" s="1"/>
  <c r="F75" i="86"/>
  <c r="F67" i="86"/>
  <c r="E82" i="86"/>
  <c r="J82" i="86" s="1"/>
  <c r="E74" i="86"/>
  <c r="J74" i="86" s="1"/>
  <c r="F66" i="86"/>
  <c r="G66" i="86" s="1"/>
  <c r="E81" i="86"/>
  <c r="J81" i="86" s="1"/>
  <c r="F73" i="86"/>
  <c r="G73" i="86" s="1"/>
  <c r="E65" i="86"/>
  <c r="K65" i="86" s="1"/>
  <c r="E84" i="86"/>
  <c r="J84" i="86" s="1"/>
  <c r="E72" i="86"/>
  <c r="J72" i="86" s="1"/>
  <c r="F64" i="86"/>
  <c r="G64" i="86" s="1"/>
  <c r="F83" i="86"/>
  <c r="G83" i="86" s="1"/>
  <c r="E75" i="86"/>
  <c r="L75" i="86" s="1"/>
  <c r="E67" i="86"/>
  <c r="L67" i="86" s="1"/>
  <c r="F86" i="86"/>
  <c r="F78" i="86"/>
  <c r="F70" i="86"/>
  <c r="F85" i="86"/>
  <c r="F77" i="86"/>
  <c r="F69" i="86"/>
  <c r="F88" i="86"/>
  <c r="F76" i="86"/>
  <c r="F68" i="86"/>
  <c r="F87" i="86"/>
  <c r="E79" i="86"/>
  <c r="I79" i="86" s="1"/>
  <c r="F71" i="86"/>
  <c r="F63" i="86"/>
  <c r="E86" i="86"/>
  <c r="L86" i="86" s="1"/>
  <c r="E78" i="86"/>
  <c r="K78" i="86" s="1"/>
  <c r="E70" i="86"/>
  <c r="I70" i="86" s="1"/>
  <c r="E85" i="86"/>
  <c r="J85" i="86" s="1"/>
  <c r="E77" i="86"/>
  <c r="J77" i="86" s="1"/>
  <c r="E69" i="86"/>
  <c r="L69" i="86" s="1"/>
  <c r="E88" i="86"/>
  <c r="L88" i="86" s="1"/>
  <c r="E76" i="86"/>
  <c r="L76" i="86" s="1"/>
  <c r="E68" i="86"/>
  <c r="J68" i="86" s="1"/>
  <c r="E87" i="86"/>
  <c r="J87" i="86" s="1"/>
  <c r="F79" i="86"/>
  <c r="G79" i="86" s="1"/>
  <c r="E71" i="86"/>
  <c r="J71" i="86" s="1"/>
  <c r="E63" i="86"/>
  <c r="K63" i="86" s="1"/>
  <c r="I65" i="86"/>
  <c r="H76" i="86"/>
  <c r="I73" i="86"/>
  <c r="J88" i="86"/>
  <c r="K83" i="86"/>
  <c r="L63" i="86"/>
  <c r="K79" i="86"/>
  <c r="I69" i="86"/>
  <c r="L72" i="86"/>
  <c r="I72" i="86"/>
  <c r="I75" i="86"/>
  <c r="K72" i="86"/>
  <c r="K70" i="86"/>
  <c r="L64" i="86"/>
  <c r="J64" i="86"/>
  <c r="K85" i="86"/>
  <c r="L66" i="86"/>
  <c r="L71" i="86"/>
  <c r="K66" i="86"/>
  <c r="H63" i="86"/>
  <c r="J70" i="86"/>
  <c r="L70" i="86"/>
  <c r="H73" i="86"/>
  <c r="H88" i="86"/>
  <c r="H79" i="86"/>
  <c r="K76" i="86"/>
  <c r="H75" i="86"/>
  <c r="I88" i="86"/>
  <c r="I78" i="86"/>
  <c r="H87" i="86"/>
  <c r="I67" i="86"/>
  <c r="I71" i="86"/>
  <c r="K87" i="86"/>
  <c r="I85" i="86"/>
  <c r="J78" i="86"/>
  <c r="H81" i="86"/>
  <c r="I82" i="86"/>
  <c r="L82" i="86"/>
  <c r="H78" i="86"/>
  <c r="K12" i="84"/>
  <c r="I12" i="84"/>
  <c r="G12" i="84"/>
  <c r="D12" i="84"/>
  <c r="P12" i="84"/>
  <c r="N12" i="84"/>
  <c r="L12" i="84"/>
  <c r="J12" i="84"/>
  <c r="H12" i="84"/>
  <c r="E12" i="84"/>
  <c r="Q12" i="84"/>
  <c r="O12" i="84"/>
  <c r="M12" i="84"/>
  <c r="F50" i="86"/>
  <c r="E50" i="86"/>
  <c r="I50" i="86" s="1"/>
  <c r="F59" i="86"/>
  <c r="E59" i="86"/>
  <c r="I59" i="86" s="1"/>
  <c r="F29" i="86"/>
  <c r="E29" i="86"/>
  <c r="I29" i="86" s="1"/>
  <c r="F44" i="86"/>
  <c r="E44" i="86"/>
  <c r="I44" i="86" s="1"/>
  <c r="F38" i="86"/>
  <c r="E38" i="86"/>
  <c r="I38" i="86" s="1"/>
  <c r="F41" i="86"/>
  <c r="E41" i="86"/>
  <c r="I41" i="86" s="1"/>
  <c r="F31" i="86"/>
  <c r="E31" i="86"/>
  <c r="I31" i="86" s="1"/>
  <c r="F13" i="86"/>
  <c r="F12" i="86"/>
  <c r="E13" i="86"/>
  <c r="L13" i="86" s="1"/>
  <c r="E12" i="86"/>
  <c r="I12" i="86" s="1"/>
  <c r="G13" i="85"/>
  <c r="D12" i="85"/>
  <c r="L12" i="85" s="1"/>
  <c r="G12" i="85"/>
  <c r="E13" i="85"/>
  <c r="E12" i="85"/>
  <c r="D13" i="85"/>
  <c r="L13" i="85" s="1"/>
  <c r="C80" i="77"/>
  <c r="C79" i="77"/>
  <c r="C78" i="77"/>
  <c r="C77" i="77"/>
  <c r="C76" i="77"/>
  <c r="C71" i="77"/>
  <c r="C68" i="77"/>
  <c r="C67" i="77"/>
  <c r="C66" i="77"/>
  <c r="C65" i="77"/>
  <c r="C64" i="77"/>
  <c r="C63" i="77"/>
  <c r="C62" i="77"/>
  <c r="C61" i="77"/>
  <c r="C60" i="77"/>
  <c r="C59" i="77"/>
  <c r="C58" i="77"/>
  <c r="C57" i="77"/>
  <c r="C56" i="77"/>
  <c r="C55" i="77"/>
  <c r="C54" i="77"/>
  <c r="C53" i="77"/>
  <c r="C52" i="77"/>
  <c r="C51" i="77"/>
  <c r="C50" i="77"/>
  <c r="C49" i="77"/>
  <c r="C48" i="77"/>
  <c r="C47" i="77"/>
  <c r="C31" i="77"/>
  <c r="C7" i="77"/>
  <c r="C9" i="77"/>
  <c r="I28" i="35"/>
  <c r="H28" i="35"/>
  <c r="I27" i="35"/>
  <c r="H27" i="35"/>
  <c r="I25" i="35"/>
  <c r="H25" i="35"/>
  <c r="I24" i="35"/>
  <c r="H24" i="35"/>
  <c r="I23" i="35"/>
  <c r="H23" i="35"/>
  <c r="I22" i="35"/>
  <c r="H22" i="35"/>
  <c r="I20" i="35"/>
  <c r="H20" i="35"/>
  <c r="I19" i="35"/>
  <c r="H19" i="35"/>
  <c r="I18" i="35"/>
  <c r="H18" i="35"/>
  <c r="I16" i="35"/>
  <c r="H16" i="35"/>
  <c r="I15" i="35"/>
  <c r="H15" i="35"/>
  <c r="I14" i="35"/>
  <c r="H14" i="35"/>
  <c r="I13" i="35"/>
  <c r="H13" i="35"/>
  <c r="I12" i="35"/>
  <c r="H12" i="35"/>
  <c r="I11" i="35"/>
  <c r="H11" i="35"/>
  <c r="I9" i="35"/>
  <c r="H9" i="35"/>
  <c r="I8" i="35"/>
  <c r="H8" i="35"/>
  <c r="I7" i="35"/>
  <c r="H7" i="35"/>
  <c r="D45" i="35"/>
  <c r="C45" i="35"/>
  <c r="D44" i="35"/>
  <c r="C44" i="35"/>
  <c r="D38" i="35"/>
  <c r="C38" i="35"/>
  <c r="D37" i="35"/>
  <c r="C37" i="35"/>
  <c r="D36" i="35"/>
  <c r="C36" i="35"/>
  <c r="D35" i="35"/>
  <c r="C35" i="35"/>
  <c r="D34" i="35"/>
  <c r="C34" i="35"/>
  <c r="D32" i="35"/>
  <c r="C32" i="35"/>
  <c r="D31" i="35"/>
  <c r="C31" i="35"/>
  <c r="D30" i="35"/>
  <c r="C30" i="35"/>
  <c r="D29" i="35"/>
  <c r="C29" i="35"/>
  <c r="D28" i="35"/>
  <c r="D27" i="35"/>
  <c r="C27" i="35"/>
  <c r="D26" i="35"/>
  <c r="C26" i="35"/>
  <c r="D24" i="35"/>
  <c r="C24" i="35"/>
  <c r="D23" i="35"/>
  <c r="C23" i="35"/>
  <c r="D22" i="35"/>
  <c r="C22" i="35"/>
  <c r="D21" i="35"/>
  <c r="C21" i="35"/>
  <c r="D20" i="35"/>
  <c r="C20" i="35"/>
  <c r="D19" i="35"/>
  <c r="C19" i="35"/>
  <c r="D18" i="35"/>
  <c r="C18" i="35"/>
  <c r="D16" i="35"/>
  <c r="C16" i="35"/>
  <c r="D15" i="35"/>
  <c r="C15" i="35"/>
  <c r="D14" i="35"/>
  <c r="C14" i="35"/>
  <c r="D12" i="35"/>
  <c r="C12" i="35"/>
  <c r="D11" i="35"/>
  <c r="C11" i="35"/>
  <c r="D9" i="35"/>
  <c r="C9" i="35"/>
  <c r="D8" i="35"/>
  <c r="C8" i="35"/>
  <c r="D7" i="35"/>
  <c r="C7" i="35"/>
  <c r="A42" i="86"/>
  <c r="C89" i="86"/>
  <c r="A40" i="86"/>
  <c r="A27" i="86"/>
  <c r="C55" i="86"/>
  <c r="D47" i="86"/>
  <c r="A18" i="86"/>
  <c r="C35" i="86"/>
  <c r="D55" i="86"/>
  <c r="C30" i="86"/>
  <c r="A17" i="86"/>
  <c r="C42" i="86"/>
  <c r="D38" i="86"/>
  <c r="C53" i="86"/>
  <c r="C45" i="86"/>
  <c r="C25" i="86"/>
  <c r="D49" i="86"/>
  <c r="A46" i="86"/>
  <c r="C57" i="86"/>
  <c r="A47" i="86"/>
  <c r="D58" i="86"/>
  <c r="D50" i="86"/>
  <c r="D42" i="86"/>
  <c r="D56" i="86"/>
  <c r="D36" i="86"/>
  <c r="D41" i="86"/>
  <c r="D31" i="86"/>
  <c r="D37" i="86"/>
  <c r="C32" i="86"/>
  <c r="A26" i="86"/>
  <c r="D22" i="86"/>
  <c r="A54" i="86"/>
  <c r="A35" i="86"/>
  <c r="C34" i="86"/>
  <c r="A20" i="86"/>
  <c r="D28" i="86"/>
  <c r="D45" i="86"/>
  <c r="C33" i="86"/>
  <c r="A53" i="86"/>
  <c r="D34" i="86"/>
  <c r="C39" i="86"/>
  <c r="A43" i="86"/>
  <c r="C50" i="86"/>
  <c r="D33" i="86"/>
  <c r="D26" i="86"/>
  <c r="D52" i="86"/>
  <c r="D24" i="86"/>
  <c r="A49" i="86"/>
  <c r="C60" i="86"/>
  <c r="D35" i="86"/>
  <c r="A52" i="86"/>
  <c r="D54" i="86"/>
  <c r="C59" i="86"/>
  <c r="C51" i="86"/>
  <c r="C38" i="86"/>
  <c r="D46" i="86"/>
  <c r="D27" i="86"/>
  <c r="A55" i="86"/>
  <c r="D89" i="86"/>
  <c r="A58" i="86"/>
  <c r="C27" i="86"/>
  <c r="D39" i="86"/>
  <c r="D80" i="86"/>
  <c r="C46" i="86"/>
  <c r="C48" i="86"/>
  <c r="D43" i="86"/>
  <c r="C44" i="86"/>
  <c r="D51" i="86"/>
  <c r="C58" i="86"/>
  <c r="C52" i="86"/>
  <c r="A39" i="86"/>
  <c r="D57" i="86"/>
  <c r="C24" i="86"/>
  <c r="D25" i="86"/>
  <c r="C56" i="86"/>
  <c r="C23" i="86"/>
  <c r="D59" i="86"/>
  <c r="C37" i="86"/>
  <c r="A51" i="86"/>
  <c r="C26" i="86"/>
  <c r="C61" i="86"/>
  <c r="A36" i="86"/>
  <c r="D60" i="86"/>
  <c r="A28" i="86"/>
  <c r="C54" i="86"/>
  <c r="A15" i="86"/>
  <c r="D30" i="86"/>
  <c r="C41" i="86"/>
  <c r="C22" i="86"/>
  <c r="A30" i="86"/>
  <c r="D62" i="86"/>
  <c r="A57" i="86"/>
  <c r="C31" i="86"/>
  <c r="A33" i="86"/>
  <c r="C36" i="86"/>
  <c r="C62" i="86"/>
  <c r="C47" i="86"/>
  <c r="D32" i="86"/>
  <c r="A23" i="86"/>
  <c r="D40" i="86"/>
  <c r="A16" i="86"/>
  <c r="A25" i="86"/>
  <c r="D29" i="86"/>
  <c r="D48" i="86"/>
  <c r="D61" i="86"/>
  <c r="C29" i="86"/>
  <c r="A56" i="86"/>
  <c r="C28" i="86"/>
  <c r="A37" i="86"/>
  <c r="D23" i="86"/>
  <c r="A34" i="86"/>
  <c r="A48" i="86"/>
  <c r="A19" i="86"/>
  <c r="D44" i="86"/>
  <c r="D53" i="86"/>
  <c r="A32" i="86"/>
  <c r="D15" i="86"/>
  <c r="C49" i="86"/>
  <c r="C40" i="86"/>
  <c r="C43" i="86"/>
  <c r="C80" i="86"/>
  <c r="A45" i="86"/>
  <c r="I86" i="86" l="1"/>
  <c r="H68" i="86"/>
  <c r="K86" i="86"/>
  <c r="K68" i="86"/>
  <c r="J69" i="86"/>
  <c r="I77" i="86"/>
  <c r="J86" i="86"/>
  <c r="I68" i="86"/>
  <c r="H77" i="86"/>
  <c r="J63" i="86"/>
  <c r="G63" i="86"/>
  <c r="G68" i="86"/>
  <c r="G77" i="86"/>
  <c r="G86" i="86"/>
  <c r="G82" i="86"/>
  <c r="I81" i="86"/>
  <c r="L79" i="86"/>
  <c r="K73" i="86"/>
  <c r="J76" i="86"/>
  <c r="H66" i="86"/>
  <c r="K74" i="86"/>
  <c r="I74" i="86"/>
  <c r="I76" i="86"/>
  <c r="L85" i="86"/>
  <c r="L68" i="86"/>
  <c r="H69" i="86"/>
  <c r="I63" i="86"/>
  <c r="G71" i="86"/>
  <c r="G76" i="86"/>
  <c r="G85" i="86"/>
  <c r="G67" i="86"/>
  <c r="G72" i="86"/>
  <c r="G81" i="86"/>
  <c r="H64" i="86"/>
  <c r="L78" i="86"/>
  <c r="K88" i="86"/>
  <c r="I83" i="86"/>
  <c r="K81" i="86"/>
  <c r="L84" i="86"/>
  <c r="J83" i="86"/>
  <c r="L77" i="86"/>
  <c r="L87" i="86"/>
  <c r="I84" i="86"/>
  <c r="K75" i="86"/>
  <c r="J66" i="86"/>
  <c r="H65" i="86"/>
  <c r="G88" i="86"/>
  <c r="G70" i="86"/>
  <c r="G75" i="86"/>
  <c r="G84" i="86"/>
  <c r="K82" i="86"/>
  <c r="J67" i="86"/>
  <c r="H85" i="86"/>
  <c r="K71" i="86"/>
  <c r="H82" i="86"/>
  <c r="K77" i="86"/>
  <c r="K69" i="86"/>
  <c r="K67" i="86"/>
  <c r="J79" i="86"/>
  <c r="H70" i="86"/>
  <c r="K64" i="86"/>
  <c r="H86" i="86"/>
  <c r="L65" i="86"/>
  <c r="G87" i="86"/>
  <c r="G69" i="86"/>
  <c r="G78" i="86"/>
  <c r="G65" i="86"/>
  <c r="G74" i="86"/>
  <c r="L74" i="86"/>
  <c r="H72" i="86"/>
  <c r="H83" i="86"/>
  <c r="I87" i="86"/>
  <c r="J65" i="86"/>
  <c r="J75" i="86"/>
  <c r="H74" i="86"/>
  <c r="H67" i="86"/>
  <c r="J73" i="86"/>
  <c r="H71" i="86"/>
  <c r="H84" i="86"/>
  <c r="K84" i="86"/>
  <c r="L81" i="86"/>
  <c r="C13" i="35"/>
  <c r="F32" i="86"/>
  <c r="E32" i="86"/>
  <c r="I32" i="86" s="1"/>
  <c r="F51" i="86"/>
  <c r="E51" i="86"/>
  <c r="I51" i="86" s="1"/>
  <c r="E46" i="86"/>
  <c r="I46" i="86" s="1"/>
  <c r="F46" i="86"/>
  <c r="F53" i="86"/>
  <c r="E53" i="86"/>
  <c r="I53" i="86" s="1"/>
  <c r="F40" i="86"/>
  <c r="E40" i="86"/>
  <c r="I40" i="86" s="1"/>
  <c r="F62" i="86"/>
  <c r="E62" i="86"/>
  <c r="I62" i="86" s="1"/>
  <c r="F80" i="86"/>
  <c r="E80" i="86"/>
  <c r="I80" i="86" s="1"/>
  <c r="F42" i="86"/>
  <c r="E42" i="86"/>
  <c r="I42" i="86" s="1"/>
  <c r="F48" i="86"/>
  <c r="E48" i="86"/>
  <c r="K48" i="86" s="1"/>
  <c r="F52" i="86"/>
  <c r="E52" i="86"/>
  <c r="I52" i="86" s="1"/>
  <c r="F58" i="86"/>
  <c r="E58" i="86"/>
  <c r="I58" i="86" s="1"/>
  <c r="F45" i="86"/>
  <c r="E45" i="86"/>
  <c r="I45" i="86" s="1"/>
  <c r="F60" i="86"/>
  <c r="E60" i="86"/>
  <c r="I60" i="86" s="1"/>
  <c r="F39" i="86"/>
  <c r="E39" i="86"/>
  <c r="I39" i="86" s="1"/>
  <c r="F34" i="86"/>
  <c r="E34" i="86"/>
  <c r="I34" i="86" s="1"/>
  <c r="F49" i="86"/>
  <c r="E49" i="86"/>
  <c r="K49" i="86" s="1"/>
  <c r="F55" i="86"/>
  <c r="E55" i="86"/>
  <c r="I55" i="86" s="1"/>
  <c r="F28" i="86"/>
  <c r="E28" i="86"/>
  <c r="I28" i="86" s="1"/>
  <c r="F35" i="86"/>
  <c r="E35" i="86"/>
  <c r="I35" i="86" s="1"/>
  <c r="F33" i="86"/>
  <c r="E33" i="86"/>
  <c r="I33" i="86" s="1"/>
  <c r="F37" i="86"/>
  <c r="E37" i="86"/>
  <c r="I37" i="86" s="1"/>
  <c r="F43" i="86"/>
  <c r="E43" i="86"/>
  <c r="I43" i="86" s="1"/>
  <c r="F89" i="86"/>
  <c r="E89" i="86"/>
  <c r="K89" i="86" s="1"/>
  <c r="F61" i="86"/>
  <c r="E61" i="86"/>
  <c r="I61" i="86" s="1"/>
  <c r="F36" i="86"/>
  <c r="E36" i="86"/>
  <c r="I36" i="86" s="1"/>
  <c r="F54" i="86"/>
  <c r="E54" i="86"/>
  <c r="I54" i="86" s="1"/>
  <c r="F57" i="86"/>
  <c r="E57" i="86"/>
  <c r="I57" i="86" s="1"/>
  <c r="F56" i="86"/>
  <c r="E56" i="86"/>
  <c r="K56" i="86" s="1"/>
  <c r="E47" i="86"/>
  <c r="H47" i="86" s="1"/>
  <c r="F47" i="86"/>
  <c r="F30" i="86"/>
  <c r="E30" i="86"/>
  <c r="I30" i="86" s="1"/>
  <c r="D13" i="35"/>
  <c r="C33" i="35"/>
  <c r="D33" i="35"/>
  <c r="J13" i="85"/>
  <c r="K13" i="85"/>
  <c r="J12" i="85"/>
  <c r="I12" i="85"/>
  <c r="H12" i="86"/>
  <c r="L12" i="86"/>
  <c r="K13" i="86"/>
  <c r="K12" i="86"/>
  <c r="J13" i="86"/>
  <c r="J12" i="86"/>
  <c r="I13" i="86"/>
  <c r="H13" i="86"/>
  <c r="F12" i="84"/>
  <c r="H12" i="85"/>
  <c r="K12" i="85"/>
  <c r="L44" i="86"/>
  <c r="L38" i="86"/>
  <c r="L50" i="86"/>
  <c r="H38" i="86"/>
  <c r="L31" i="86"/>
  <c r="J38" i="86"/>
  <c r="G38" i="86"/>
  <c r="K38" i="86"/>
  <c r="J50" i="86"/>
  <c r="H44" i="86"/>
  <c r="L29" i="86"/>
  <c r="L59" i="86"/>
  <c r="H50" i="86"/>
  <c r="H31" i="86"/>
  <c r="L41" i="86"/>
  <c r="H59" i="86"/>
  <c r="J59" i="86"/>
  <c r="K59" i="86"/>
  <c r="G50" i="86"/>
  <c r="K50" i="86"/>
  <c r="G59" i="86"/>
  <c r="H41" i="86"/>
  <c r="G44" i="86"/>
  <c r="G41" i="86"/>
  <c r="G31" i="86"/>
  <c r="J41" i="86"/>
  <c r="K41" i="86"/>
  <c r="J44" i="86"/>
  <c r="K44" i="86"/>
  <c r="H29" i="86"/>
  <c r="J31" i="86"/>
  <c r="K31" i="86"/>
  <c r="J29" i="86"/>
  <c r="G29" i="86"/>
  <c r="K29" i="86"/>
  <c r="G12" i="86"/>
  <c r="G13" i="86"/>
  <c r="H13" i="85"/>
  <c r="I13" i="85"/>
  <c r="C20" i="86"/>
  <c r="C21" i="86"/>
  <c r="C17" i="86"/>
  <c r="D14" i="86"/>
  <c r="D18" i="86"/>
  <c r="C18" i="86"/>
  <c r="C16" i="86"/>
  <c r="C14" i="86"/>
  <c r="D21" i="86"/>
  <c r="D16" i="86"/>
  <c r="C15" i="86"/>
  <c r="D20" i="86"/>
  <c r="D19" i="86"/>
  <c r="D17" i="86"/>
  <c r="C19" i="86"/>
  <c r="L46" i="86" l="1"/>
  <c r="J46" i="86"/>
  <c r="K47" i="86"/>
  <c r="K46" i="86"/>
  <c r="H46" i="86"/>
  <c r="L47" i="86"/>
  <c r="G47" i="86"/>
  <c r="G46" i="86"/>
  <c r="G53" i="86"/>
  <c r="J53" i="86"/>
  <c r="K62" i="86"/>
  <c r="J58" i="86"/>
  <c r="L32" i="86"/>
  <c r="J61" i="86"/>
  <c r="I48" i="86"/>
  <c r="K32" i="86"/>
  <c r="H48" i="86"/>
  <c r="H58" i="86"/>
  <c r="G58" i="86"/>
  <c r="J28" i="86"/>
  <c r="H49" i="86"/>
  <c r="L58" i="86"/>
  <c r="G32" i="86"/>
  <c r="G48" i="86"/>
  <c r="G39" i="86"/>
  <c r="K51" i="86"/>
  <c r="H51" i="86"/>
  <c r="J51" i="86"/>
  <c r="H62" i="86"/>
  <c r="J32" i="86"/>
  <c r="J48" i="86"/>
  <c r="H32" i="86"/>
  <c r="H28" i="86"/>
  <c r="G49" i="86"/>
  <c r="K58" i="86"/>
  <c r="G51" i="86"/>
  <c r="K53" i="86"/>
  <c r="L51" i="86"/>
  <c r="L48" i="86"/>
  <c r="L53" i="86"/>
  <c r="L62" i="86"/>
  <c r="J39" i="86"/>
  <c r="I49" i="86"/>
  <c r="H53" i="86"/>
  <c r="G62" i="86"/>
  <c r="J62" i="86"/>
  <c r="K28" i="86"/>
  <c r="K54" i="86"/>
  <c r="J34" i="86"/>
  <c r="J42" i="86"/>
  <c r="J57" i="86"/>
  <c r="K33" i="86"/>
  <c r="G28" i="86"/>
  <c r="K39" i="86"/>
  <c r="J33" i="86"/>
  <c r="K43" i="86"/>
  <c r="H39" i="86"/>
  <c r="I47" i="86"/>
  <c r="K57" i="86"/>
  <c r="G54" i="86"/>
  <c r="G33" i="86"/>
  <c r="G40" i="86"/>
  <c r="L28" i="86"/>
  <c r="G57" i="86"/>
  <c r="K61" i="86"/>
  <c r="H54" i="86"/>
  <c r="H43" i="86"/>
  <c r="J47" i="86"/>
  <c r="J49" i="86"/>
  <c r="J43" i="86"/>
  <c r="L43" i="86"/>
  <c r="G43" i="86"/>
  <c r="G45" i="86"/>
  <c r="K52" i="86"/>
  <c r="H61" i="86"/>
  <c r="L54" i="86"/>
  <c r="J54" i="86"/>
  <c r="L39" i="86"/>
  <c r="G61" i="86"/>
  <c r="H57" i="86"/>
  <c r="H42" i="86"/>
  <c r="L37" i="86"/>
  <c r="H55" i="86"/>
  <c r="G60" i="86"/>
  <c r="H80" i="86"/>
  <c r="G89" i="86"/>
  <c r="G80" i="86"/>
  <c r="L80" i="86"/>
  <c r="K35" i="86"/>
  <c r="J40" i="86"/>
  <c r="H33" i="86"/>
  <c r="J35" i="86"/>
  <c r="K37" i="86"/>
  <c r="G37" i="86"/>
  <c r="H37" i="86"/>
  <c r="G42" i="86"/>
  <c r="K34" i="86"/>
  <c r="K42" i="86"/>
  <c r="K40" i="86"/>
  <c r="L36" i="86"/>
  <c r="L33" i="86"/>
  <c r="K55" i="86"/>
  <c r="H45" i="86"/>
  <c r="J60" i="86"/>
  <c r="I56" i="86"/>
  <c r="J56" i="86"/>
  <c r="G35" i="86"/>
  <c r="K36" i="86"/>
  <c r="J30" i="86"/>
  <c r="L49" i="86"/>
  <c r="G34" i="86"/>
  <c r="J37" i="86"/>
  <c r="G36" i="86"/>
  <c r="H35" i="86"/>
  <c r="H36" i="86"/>
  <c r="K45" i="86"/>
  <c r="G55" i="86"/>
  <c r="G56" i="86"/>
  <c r="J55" i="86"/>
  <c r="H30" i="86"/>
  <c r="H56" i="86"/>
  <c r="H40" i="86"/>
  <c r="G52" i="86"/>
  <c r="J80" i="86"/>
  <c r="J89" i="86"/>
  <c r="L57" i="86"/>
  <c r="L52" i="86"/>
  <c r="L40" i="86"/>
  <c r="K30" i="86"/>
  <c r="J36" i="86"/>
  <c r="L35" i="86"/>
  <c r="J52" i="86"/>
  <c r="L45" i="86"/>
  <c r="H60" i="86"/>
  <c r="L42" i="86"/>
  <c r="G30" i="86"/>
  <c r="J45" i="86"/>
  <c r="H34" i="86"/>
  <c r="L34" i="86"/>
  <c r="L30" i="86"/>
  <c r="L56" i="86"/>
  <c r="L55" i="86"/>
  <c r="K60" i="86"/>
  <c r="H52" i="86"/>
  <c r="K80" i="86"/>
  <c r="I89" i="86"/>
  <c r="L89" i="86"/>
  <c r="L60" i="86"/>
  <c r="H89" i="86"/>
  <c r="L61" i="86"/>
  <c r="A14" i="86"/>
  <c r="E19" i="86"/>
  <c r="E18" i="86"/>
  <c r="E17" i="86"/>
  <c r="E15" i="86"/>
  <c r="E21" i="86"/>
  <c r="E20" i="86"/>
  <c r="E16" i="86"/>
  <c r="F23" i="86" l="1"/>
  <c r="E23" i="86"/>
  <c r="I23" i="86" s="1"/>
  <c r="E26" i="86"/>
  <c r="H26" i="86" s="1"/>
  <c r="F26" i="86"/>
  <c r="E24" i="86"/>
  <c r="J24" i="86" s="1"/>
  <c r="F24" i="86"/>
  <c r="F25" i="86"/>
  <c r="E25" i="86"/>
  <c r="I25" i="86" s="1"/>
  <c r="E22" i="86"/>
  <c r="J22" i="86" s="1"/>
  <c r="F22" i="86"/>
  <c r="F17" i="86"/>
  <c r="L17" i="86"/>
  <c r="F15" i="86"/>
  <c r="L15" i="86"/>
  <c r="F16" i="86"/>
  <c r="L16" i="86"/>
  <c r="F20" i="86"/>
  <c r="L20" i="86"/>
  <c r="F19" i="86"/>
  <c r="L19" i="86"/>
  <c r="F18" i="86"/>
  <c r="J18" i="86"/>
  <c r="F21" i="86"/>
  <c r="J21" i="86"/>
  <c r="L3" i="84"/>
  <c r="L3" i="83"/>
  <c r="L3" i="72"/>
  <c r="C14" i="82"/>
  <c r="C20" i="82"/>
  <c r="C13" i="82"/>
  <c r="C34" i="72"/>
  <c r="C29" i="72"/>
  <c r="C23" i="72"/>
  <c r="C19" i="72"/>
  <c r="C28" i="72"/>
  <c r="C13" i="72"/>
  <c r="C17" i="72"/>
  <c r="C15" i="72"/>
  <c r="C30" i="72"/>
  <c r="C26" i="72"/>
  <c r="C31" i="72"/>
  <c r="C33" i="72"/>
  <c r="C35" i="72"/>
  <c r="C22" i="72"/>
  <c r="C18" i="72"/>
  <c r="C24" i="72"/>
  <c r="C32" i="72"/>
  <c r="C21" i="72"/>
  <c r="C20" i="72"/>
  <c r="C16" i="72"/>
  <c r="C27" i="72"/>
  <c r="C25" i="72"/>
  <c r="A27" i="72" l="1"/>
  <c r="A30" i="72"/>
  <c r="A26" i="72"/>
  <c r="A29" i="72"/>
  <c r="A25" i="72"/>
  <c r="A28" i="72"/>
  <c r="A15" i="72"/>
  <c r="A22" i="72"/>
  <c r="A16" i="72"/>
  <c r="A35" i="72"/>
  <c r="C11" i="82"/>
  <c r="C13" i="86"/>
  <c r="C12" i="86"/>
  <c r="K26" i="86"/>
  <c r="I26" i="86"/>
  <c r="I22" i="86"/>
  <c r="G22" i="86"/>
  <c r="I24" i="86"/>
  <c r="K22" i="86"/>
  <c r="L22" i="86"/>
  <c r="L25" i="86"/>
  <c r="G24" i="86"/>
  <c r="H25" i="86"/>
  <c r="K24" i="86"/>
  <c r="L24" i="86"/>
  <c r="L26" i="86"/>
  <c r="L23" i="86"/>
  <c r="H22" i="86"/>
  <c r="G26" i="86"/>
  <c r="J26" i="86"/>
  <c r="J25" i="86"/>
  <c r="G25" i="86"/>
  <c r="K25" i="86"/>
  <c r="H24" i="86"/>
  <c r="H23" i="86"/>
  <c r="J23" i="86"/>
  <c r="G23" i="86"/>
  <c r="K23" i="86"/>
  <c r="L21" i="86"/>
  <c r="L18" i="86"/>
  <c r="K19" i="86"/>
  <c r="K20" i="86"/>
  <c r="K16" i="86"/>
  <c r="K21" i="86"/>
  <c r="H21" i="86"/>
  <c r="K18" i="86"/>
  <c r="H18" i="86"/>
  <c r="I21" i="86"/>
  <c r="I18" i="86"/>
  <c r="I19" i="86"/>
  <c r="J19" i="86"/>
  <c r="I20" i="86"/>
  <c r="J20" i="86"/>
  <c r="I16" i="86"/>
  <c r="J16" i="86"/>
  <c r="I15" i="86"/>
  <c r="J15" i="86"/>
  <c r="I17" i="86"/>
  <c r="J17" i="86"/>
  <c r="H19" i="86"/>
  <c r="H20" i="86"/>
  <c r="H16" i="86"/>
  <c r="K15" i="86"/>
  <c r="H15" i="86"/>
  <c r="K17" i="86"/>
  <c r="H17" i="86"/>
  <c r="C12" i="72"/>
  <c r="D12" i="72"/>
  <c r="F13" i="85"/>
  <c r="C13" i="85"/>
  <c r="C12" i="85"/>
  <c r="F12" i="85"/>
  <c r="C12" i="84"/>
  <c r="D12" i="83"/>
  <c r="E12" i="83"/>
  <c r="H12" i="83"/>
  <c r="J12" i="83"/>
  <c r="G12" i="83"/>
  <c r="I12" i="83"/>
  <c r="K12" i="83"/>
  <c r="C12" i="83"/>
  <c r="I12" i="72"/>
  <c r="K12" i="72"/>
  <c r="H12" i="72"/>
  <c r="G12" i="72"/>
  <c r="J12" i="72"/>
  <c r="E12" i="72"/>
  <c r="A13" i="72"/>
  <c r="I13" i="72" s="1"/>
  <c r="C16" i="85"/>
  <c r="C35" i="85"/>
  <c r="C20" i="83"/>
  <c r="C21" i="85"/>
  <c r="C36" i="85"/>
  <c r="C14" i="85"/>
  <c r="C15" i="83"/>
  <c r="C28" i="83"/>
  <c r="C30" i="85"/>
  <c r="C14" i="72"/>
  <c r="C32" i="85"/>
  <c r="C16" i="83"/>
  <c r="C33" i="85"/>
  <c r="C19" i="83"/>
  <c r="C23" i="85"/>
  <c r="C34" i="85"/>
  <c r="C35" i="83"/>
  <c r="C29" i="85"/>
  <c r="C24" i="83"/>
  <c r="C31" i="85"/>
  <c r="C23" i="83"/>
  <c r="C27" i="85"/>
  <c r="C27" i="83"/>
  <c r="C29" i="83"/>
  <c r="C26" i="85"/>
  <c r="C25" i="83"/>
  <c r="C31" i="83"/>
  <c r="C28" i="85"/>
  <c r="C34" i="83"/>
  <c r="C19" i="85"/>
  <c r="C21" i="83"/>
  <c r="C25" i="85"/>
  <c r="C26" i="83"/>
  <c r="C22" i="85"/>
  <c r="C20" i="85"/>
  <c r="C30" i="83"/>
  <c r="C32" i="83"/>
  <c r="C18" i="85"/>
  <c r="C33" i="83"/>
  <c r="C15" i="85"/>
  <c r="C18" i="83"/>
  <c r="C24" i="85"/>
  <c r="C17" i="83"/>
  <c r="C17" i="85"/>
  <c r="C22" i="83"/>
  <c r="A30" i="85" l="1"/>
  <c r="A31" i="85"/>
  <c r="A29" i="85"/>
  <c r="A27" i="85"/>
  <c r="A28" i="85"/>
  <c r="A21" i="85"/>
  <c r="A15" i="85"/>
  <c r="A20" i="85"/>
  <c r="A32" i="85"/>
  <c r="A25" i="85"/>
  <c r="A36" i="85"/>
  <c r="A35" i="85"/>
  <c r="A33" i="85"/>
  <c r="A34" i="85"/>
  <c r="A18" i="85"/>
  <c r="A16" i="85"/>
  <c r="A17" i="85"/>
  <c r="A23" i="85"/>
  <c r="A19" i="85"/>
  <c r="A22" i="85"/>
  <c r="A26" i="85"/>
  <c r="A24" i="85"/>
  <c r="I29" i="72"/>
  <c r="H29" i="72"/>
  <c r="E29" i="72"/>
  <c r="D29" i="72"/>
  <c r="G29" i="72"/>
  <c r="K29" i="72"/>
  <c r="J29" i="72"/>
  <c r="D26" i="72"/>
  <c r="G26" i="72"/>
  <c r="J26" i="72"/>
  <c r="I26" i="72"/>
  <c r="H26" i="72"/>
  <c r="K26" i="72"/>
  <c r="E26" i="72"/>
  <c r="G28" i="72"/>
  <c r="J28" i="72"/>
  <c r="H28" i="72"/>
  <c r="E28" i="72"/>
  <c r="D28" i="72"/>
  <c r="K28" i="72"/>
  <c r="I28" i="72"/>
  <c r="E30" i="72"/>
  <c r="I30" i="72"/>
  <c r="H30" i="72"/>
  <c r="G30" i="72"/>
  <c r="D30" i="72"/>
  <c r="J30" i="72"/>
  <c r="K30" i="72"/>
  <c r="E25" i="72"/>
  <c r="H25" i="72"/>
  <c r="K25" i="72"/>
  <c r="D25" i="72"/>
  <c r="G25" i="72"/>
  <c r="I25" i="72"/>
  <c r="J25" i="72"/>
  <c r="K27" i="72"/>
  <c r="D27" i="72"/>
  <c r="G27" i="72"/>
  <c r="J27" i="72"/>
  <c r="I27" i="72"/>
  <c r="E27" i="72"/>
  <c r="F27" i="72" s="1"/>
  <c r="H27" i="72"/>
  <c r="K35" i="72"/>
  <c r="G35" i="72"/>
  <c r="I35" i="72"/>
  <c r="H35" i="72"/>
  <c r="J35" i="72"/>
  <c r="F35" i="72"/>
  <c r="E35" i="72"/>
  <c r="D35" i="72"/>
  <c r="J16" i="72"/>
  <c r="H16" i="72"/>
  <c r="D16" i="72"/>
  <c r="I16" i="72"/>
  <c r="E16" i="72"/>
  <c r="K16" i="72"/>
  <c r="G16" i="72"/>
  <c r="H22" i="72"/>
  <c r="D22" i="72"/>
  <c r="J22" i="72"/>
  <c r="K22" i="72"/>
  <c r="G22" i="72"/>
  <c r="E22" i="72"/>
  <c r="I22" i="72"/>
  <c r="K15" i="72"/>
  <c r="G15" i="72"/>
  <c r="I15" i="72"/>
  <c r="J15" i="72"/>
  <c r="E15" i="72"/>
  <c r="D15" i="72"/>
  <c r="H15" i="72"/>
  <c r="A34" i="72"/>
  <c r="A17" i="72"/>
  <c r="A24" i="72"/>
  <c r="A21" i="72"/>
  <c r="A20" i="72"/>
  <c r="A19" i="72"/>
  <c r="A18" i="72"/>
  <c r="A14" i="72"/>
  <c r="E14" i="72" s="1"/>
  <c r="A23" i="72"/>
  <c r="A32" i="72"/>
  <c r="A33" i="72"/>
  <c r="A31" i="72"/>
  <c r="A28" i="83"/>
  <c r="A27" i="83"/>
  <c r="A29" i="83"/>
  <c r="A26" i="83"/>
  <c r="A30" i="83"/>
  <c r="C46" i="82"/>
  <c r="F12" i="72"/>
  <c r="F27" i="86"/>
  <c r="E27" i="86"/>
  <c r="I27" i="86" s="1"/>
  <c r="F14" i="86"/>
  <c r="E14" i="86"/>
  <c r="L14" i="86" s="1"/>
  <c r="F12" i="83"/>
  <c r="J13" i="72"/>
  <c r="K13" i="72"/>
  <c r="G13" i="72"/>
  <c r="H13" i="72"/>
  <c r="E13" i="72"/>
  <c r="D13" i="72"/>
  <c r="C34" i="84"/>
  <c r="C20" i="84"/>
  <c r="C21" i="84"/>
  <c r="C25" i="84"/>
  <c r="C23" i="84"/>
  <c r="C27" i="84"/>
  <c r="C17" i="84"/>
  <c r="C29" i="84"/>
  <c r="C33" i="84"/>
  <c r="C31" i="84"/>
  <c r="C15" i="84"/>
  <c r="C13" i="84"/>
  <c r="C24" i="84"/>
  <c r="C35" i="84"/>
  <c r="C14" i="84"/>
  <c r="C16" i="84"/>
  <c r="C28" i="84"/>
  <c r="C32" i="84"/>
  <c r="C19" i="84"/>
  <c r="C18" i="84"/>
  <c r="C26" i="84"/>
  <c r="C30" i="84"/>
  <c r="C22" i="84"/>
  <c r="F22" i="72" l="1"/>
  <c r="E27" i="85"/>
  <c r="D27" i="85"/>
  <c r="K27" i="85" s="1"/>
  <c r="G27" i="85"/>
  <c r="G29" i="85"/>
  <c r="E29" i="85"/>
  <c r="D29" i="85"/>
  <c r="I29" i="85" s="1"/>
  <c r="G31" i="85"/>
  <c r="D31" i="85"/>
  <c r="I31" i="85" s="1"/>
  <c r="E31" i="85"/>
  <c r="G28" i="85"/>
  <c r="D28" i="85"/>
  <c r="J28" i="85" s="1"/>
  <c r="E28" i="85"/>
  <c r="D30" i="85"/>
  <c r="L30" i="85" s="1"/>
  <c r="E30" i="85"/>
  <c r="G30" i="85"/>
  <c r="D26" i="85"/>
  <c r="L26" i="85" s="1"/>
  <c r="E26" i="85"/>
  <c r="G26" i="85"/>
  <c r="D17" i="85"/>
  <c r="H17" i="85" s="1"/>
  <c r="G17" i="85"/>
  <c r="E17" i="85"/>
  <c r="E33" i="85"/>
  <c r="D33" i="85"/>
  <c r="I33" i="85" s="1"/>
  <c r="G33" i="85"/>
  <c r="D32" i="85"/>
  <c r="H32" i="85" s="1"/>
  <c r="G32" i="85"/>
  <c r="E32" i="85"/>
  <c r="D22" i="85"/>
  <c r="L22" i="85" s="1"/>
  <c r="E22" i="85"/>
  <c r="G22" i="85"/>
  <c r="D16" i="85"/>
  <c r="J16" i="85" s="1"/>
  <c r="G16" i="85"/>
  <c r="E16" i="85"/>
  <c r="E35" i="85"/>
  <c r="D35" i="85"/>
  <c r="I35" i="85" s="1"/>
  <c r="G35" i="85"/>
  <c r="D20" i="85"/>
  <c r="H20" i="85" s="1"/>
  <c r="G20" i="85"/>
  <c r="E20" i="85"/>
  <c r="D19" i="85"/>
  <c r="J19" i="85" s="1"/>
  <c r="G19" i="85"/>
  <c r="E19" i="85"/>
  <c r="D18" i="85"/>
  <c r="J18" i="85" s="1"/>
  <c r="E18" i="85"/>
  <c r="G18" i="85"/>
  <c r="L36" i="85"/>
  <c r="H36" i="85"/>
  <c r="D36" i="85"/>
  <c r="K36" i="85"/>
  <c r="G36" i="85"/>
  <c r="J36" i="85"/>
  <c r="F36" i="85"/>
  <c r="I36" i="85"/>
  <c r="E36" i="85"/>
  <c r="D15" i="85"/>
  <c r="K15" i="85" s="1"/>
  <c r="G15" i="85"/>
  <c r="E15" i="85"/>
  <c r="D24" i="85"/>
  <c r="L24" i="85" s="1"/>
  <c r="G24" i="85"/>
  <c r="E24" i="85"/>
  <c r="D23" i="85"/>
  <c r="H23" i="85" s="1"/>
  <c r="G23" i="85"/>
  <c r="E23" i="85"/>
  <c r="D34" i="85"/>
  <c r="K34" i="85" s="1"/>
  <c r="G34" i="85"/>
  <c r="E34" i="85"/>
  <c r="D25" i="85"/>
  <c r="K25" i="85" s="1"/>
  <c r="G25" i="85"/>
  <c r="E25" i="85"/>
  <c r="D21" i="85"/>
  <c r="J21" i="85" s="1"/>
  <c r="G21" i="85"/>
  <c r="E21" i="85"/>
  <c r="F29" i="72"/>
  <c r="F16" i="72"/>
  <c r="F26" i="72"/>
  <c r="F15" i="72"/>
  <c r="F30" i="72"/>
  <c r="F28" i="72"/>
  <c r="F25" i="72"/>
  <c r="K31" i="72"/>
  <c r="G31" i="72"/>
  <c r="E31" i="72"/>
  <c r="J31" i="72"/>
  <c r="I31" i="72"/>
  <c r="H31" i="72"/>
  <c r="D31" i="72"/>
  <c r="F31" i="72" s="1"/>
  <c r="I21" i="72"/>
  <c r="E21" i="72"/>
  <c r="K21" i="72"/>
  <c r="H21" i="72"/>
  <c r="D21" i="72"/>
  <c r="G21" i="72"/>
  <c r="J21" i="72"/>
  <c r="I33" i="72"/>
  <c r="E33" i="72"/>
  <c r="K33" i="72"/>
  <c r="J33" i="72"/>
  <c r="H33" i="72"/>
  <c r="D33" i="72"/>
  <c r="G33" i="72"/>
  <c r="F33" i="72"/>
  <c r="H18" i="72"/>
  <c r="D18" i="72"/>
  <c r="K18" i="72"/>
  <c r="G18" i="72"/>
  <c r="J18" i="72"/>
  <c r="I18" i="72"/>
  <c r="E18" i="72"/>
  <c r="J24" i="72"/>
  <c r="H24" i="72"/>
  <c r="D24" i="72"/>
  <c r="K24" i="72"/>
  <c r="I24" i="72"/>
  <c r="E24" i="72"/>
  <c r="G24" i="72"/>
  <c r="J32" i="72"/>
  <c r="F32" i="72"/>
  <c r="K32" i="72"/>
  <c r="I32" i="72"/>
  <c r="E32" i="72"/>
  <c r="H32" i="72"/>
  <c r="D32" i="72"/>
  <c r="G32" i="72"/>
  <c r="K19" i="72"/>
  <c r="G19" i="72"/>
  <c r="E19" i="72"/>
  <c r="J19" i="72"/>
  <c r="I19" i="72"/>
  <c r="D19" i="72"/>
  <c r="H19" i="72"/>
  <c r="I17" i="72"/>
  <c r="E17" i="72"/>
  <c r="G17" i="72"/>
  <c r="H17" i="72"/>
  <c r="D17" i="72"/>
  <c r="K17" i="72"/>
  <c r="J17" i="72"/>
  <c r="K23" i="72"/>
  <c r="G23" i="72"/>
  <c r="I23" i="72"/>
  <c r="J23" i="72"/>
  <c r="E23" i="72"/>
  <c r="H23" i="72"/>
  <c r="D23" i="72"/>
  <c r="J20" i="72"/>
  <c r="I20" i="72"/>
  <c r="E20" i="72"/>
  <c r="H20" i="72"/>
  <c r="D20" i="72"/>
  <c r="G20" i="72"/>
  <c r="K20" i="72"/>
  <c r="H34" i="72"/>
  <c r="D34" i="72"/>
  <c r="J34" i="72"/>
  <c r="I34" i="72"/>
  <c r="K34" i="72"/>
  <c r="G34" i="72"/>
  <c r="F34" i="72"/>
  <c r="E34" i="72"/>
  <c r="A26" i="84"/>
  <c r="Q26" i="84" s="1"/>
  <c r="A20" i="84"/>
  <c r="A24" i="84"/>
  <c r="A28" i="84"/>
  <c r="J28" i="84" s="1"/>
  <c r="A32" i="84"/>
  <c r="A30" i="84"/>
  <c r="K30" i="84" s="1"/>
  <c r="A21" i="84"/>
  <c r="A25" i="84"/>
  <c r="A29" i="84"/>
  <c r="D29" i="84" s="1"/>
  <c r="A33" i="84"/>
  <c r="A22" i="84"/>
  <c r="A34" i="84"/>
  <c r="A23" i="84"/>
  <c r="A27" i="84"/>
  <c r="P27" i="84" s="1"/>
  <c r="A31" i="84"/>
  <c r="A35" i="84"/>
  <c r="A14" i="84"/>
  <c r="A19" i="84"/>
  <c r="A17" i="84"/>
  <c r="A15" i="84"/>
  <c r="A16" i="84"/>
  <c r="A18" i="84"/>
  <c r="I26" i="83"/>
  <c r="K26" i="83"/>
  <c r="E26" i="83"/>
  <c r="J26" i="83"/>
  <c r="H26" i="83"/>
  <c r="G26" i="83"/>
  <c r="D26" i="83"/>
  <c r="J29" i="83"/>
  <c r="K29" i="83"/>
  <c r="H29" i="83"/>
  <c r="I29" i="83"/>
  <c r="G29" i="83"/>
  <c r="E29" i="83"/>
  <c r="D29" i="83"/>
  <c r="D27" i="83"/>
  <c r="J27" i="83"/>
  <c r="K27" i="83"/>
  <c r="I27" i="83"/>
  <c r="G27" i="83"/>
  <c r="H27" i="83"/>
  <c r="E27" i="83"/>
  <c r="D30" i="83"/>
  <c r="K30" i="83"/>
  <c r="I30" i="83"/>
  <c r="J30" i="83"/>
  <c r="E30" i="83"/>
  <c r="G30" i="83"/>
  <c r="H30" i="83"/>
  <c r="J28" i="83"/>
  <c r="E28" i="83"/>
  <c r="D28" i="83"/>
  <c r="K28" i="83"/>
  <c r="I28" i="83"/>
  <c r="G28" i="83"/>
  <c r="H28" i="83"/>
  <c r="G30" i="84"/>
  <c r="D14" i="72"/>
  <c r="F14" i="72" s="1"/>
  <c r="G14" i="72"/>
  <c r="K14" i="72"/>
  <c r="J14" i="72"/>
  <c r="I14" i="72"/>
  <c r="H14" i="72"/>
  <c r="L27" i="86"/>
  <c r="J27" i="86"/>
  <c r="H27" i="86"/>
  <c r="G27" i="86"/>
  <c r="K27" i="86"/>
  <c r="I14" i="86"/>
  <c r="J14" i="86"/>
  <c r="K14" i="86"/>
  <c r="H14" i="86"/>
  <c r="A14" i="85"/>
  <c r="A13" i="84"/>
  <c r="F13" i="72"/>
  <c r="F30" i="83" l="1"/>
  <c r="K31" i="85"/>
  <c r="I27" i="84"/>
  <c r="L27" i="84"/>
  <c r="F32" i="85"/>
  <c r="I30" i="84"/>
  <c r="J27" i="84"/>
  <c r="J30" i="85"/>
  <c r="H30" i="85"/>
  <c r="H35" i="85"/>
  <c r="F24" i="85"/>
  <c r="K19" i="85"/>
  <c r="K28" i="85"/>
  <c r="H29" i="85"/>
  <c r="F29" i="85"/>
  <c r="K24" i="85"/>
  <c r="F31" i="85"/>
  <c r="K29" i="85"/>
  <c r="J27" i="85"/>
  <c r="L29" i="85"/>
  <c r="F34" i="85"/>
  <c r="I23" i="85"/>
  <c r="K35" i="85"/>
  <c r="F30" i="85"/>
  <c r="L28" i="85"/>
  <c r="J29" i="85"/>
  <c r="H28" i="85"/>
  <c r="I30" i="85"/>
  <c r="F35" i="85"/>
  <c r="I28" i="85"/>
  <c r="H31" i="85"/>
  <c r="I21" i="85"/>
  <c r="I34" i="85"/>
  <c r="H34" i="85"/>
  <c r="J34" i="85"/>
  <c r="L31" i="85"/>
  <c r="H33" i="85"/>
  <c r="K30" i="85"/>
  <c r="F28" i="85"/>
  <c r="J31" i="85"/>
  <c r="H27" i="85"/>
  <c r="L35" i="85"/>
  <c r="F33" i="85"/>
  <c r="L34" i="85"/>
  <c r="K33" i="85"/>
  <c r="I27" i="85"/>
  <c r="Q29" i="84"/>
  <c r="H30" i="84"/>
  <c r="K29" i="84"/>
  <c r="G26" i="84"/>
  <c r="I18" i="85"/>
  <c r="F19" i="85"/>
  <c r="H19" i="85"/>
  <c r="F17" i="85"/>
  <c r="F26" i="85"/>
  <c r="L27" i="85"/>
  <c r="O29" i="84"/>
  <c r="I26" i="84"/>
  <c r="K18" i="85"/>
  <c r="J22" i="85"/>
  <c r="E29" i="84"/>
  <c r="F29" i="84" s="1"/>
  <c r="J26" i="84"/>
  <c r="K21" i="85"/>
  <c r="H21" i="85"/>
  <c r="F16" i="85"/>
  <c r="I22" i="85"/>
  <c r="I17" i="85"/>
  <c r="F27" i="85"/>
  <c r="O27" i="84"/>
  <c r="Q27" i="84"/>
  <c r="K27" i="84"/>
  <c r="J30" i="84"/>
  <c r="P30" i="84"/>
  <c r="Q30" i="84"/>
  <c r="O30" i="84"/>
  <c r="F15" i="85"/>
  <c r="D27" i="84"/>
  <c r="E27" i="84"/>
  <c r="H27" i="84"/>
  <c r="D30" i="84"/>
  <c r="E30" i="84"/>
  <c r="N30" i="84"/>
  <c r="L29" i="84"/>
  <c r="M29" i="84"/>
  <c r="E26" i="84"/>
  <c r="G27" i="84"/>
  <c r="M27" i="84"/>
  <c r="N27" i="84"/>
  <c r="L30" i="84"/>
  <c r="M30" i="84"/>
  <c r="F18" i="85"/>
  <c r="I19" i="85"/>
  <c r="L19" i="85"/>
  <c r="K22" i="85"/>
  <c r="J29" i="84"/>
  <c r="H29" i="84"/>
  <c r="H26" i="84"/>
  <c r="K26" i="84"/>
  <c r="M26" i="84"/>
  <c r="F21" i="85"/>
  <c r="L21" i="85"/>
  <c r="F23" i="85"/>
  <c r="L23" i="85"/>
  <c r="I24" i="85"/>
  <c r="F20" i="85"/>
  <c r="F22" i="85"/>
  <c r="K26" i="85"/>
  <c r="J26" i="85"/>
  <c r="N29" i="84"/>
  <c r="I29" i="84"/>
  <c r="P26" i="84"/>
  <c r="O26" i="84"/>
  <c r="K28" i="84"/>
  <c r="F25" i="85"/>
  <c r="J24" i="85"/>
  <c r="K20" i="85"/>
  <c r="H22" i="85"/>
  <c r="I26" i="85"/>
  <c r="J25" i="85"/>
  <c r="J15" i="85"/>
  <c r="L20" i="85"/>
  <c r="L32" i="85"/>
  <c r="L17" i="85"/>
  <c r="I25" i="85"/>
  <c r="H25" i="85"/>
  <c r="K23" i="85"/>
  <c r="H15" i="85"/>
  <c r="H18" i="85"/>
  <c r="J20" i="85"/>
  <c r="J35" i="85"/>
  <c r="I16" i="85"/>
  <c r="H16" i="85"/>
  <c r="I32" i="85"/>
  <c r="K32" i="85"/>
  <c r="L33" i="85"/>
  <c r="J33" i="85"/>
  <c r="L25" i="85"/>
  <c r="J23" i="85"/>
  <c r="H24" i="85"/>
  <c r="I15" i="85"/>
  <c r="L15" i="85"/>
  <c r="L18" i="85"/>
  <c r="K16" i="85"/>
  <c r="L16" i="85"/>
  <c r="J17" i="85"/>
  <c r="H26" i="85"/>
  <c r="I20" i="85"/>
  <c r="J32" i="85"/>
  <c r="K17" i="85"/>
  <c r="F21" i="72"/>
  <c r="L28" i="84"/>
  <c r="P29" i="84"/>
  <c r="G29" i="84"/>
  <c r="D26" i="84"/>
  <c r="N26" i="84"/>
  <c r="L26" i="84"/>
  <c r="N28" i="84"/>
  <c r="E28" i="84"/>
  <c r="F18" i="72"/>
  <c r="F23" i="72"/>
  <c r="F19" i="72"/>
  <c r="F24" i="72"/>
  <c r="F20" i="72"/>
  <c r="F17" i="72"/>
  <c r="F29" i="83"/>
  <c r="F28" i="83"/>
  <c r="F27" i="83"/>
  <c r="M28" i="84"/>
  <c r="O28" i="84"/>
  <c r="P28" i="84"/>
  <c r="Q28" i="84"/>
  <c r="D28" i="84"/>
  <c r="I28" i="84"/>
  <c r="G28" i="84"/>
  <c r="H28" i="84"/>
  <c r="F26" i="83"/>
  <c r="F30" i="84"/>
  <c r="O23" i="84"/>
  <c r="K23" i="84"/>
  <c r="G23" i="84"/>
  <c r="N23" i="84"/>
  <c r="I23" i="84"/>
  <c r="D23" i="84"/>
  <c r="M23" i="84"/>
  <c r="H23" i="84"/>
  <c r="Q23" i="84"/>
  <c r="L23" i="84"/>
  <c r="P23" i="84"/>
  <c r="J23" i="84"/>
  <c r="E23" i="84"/>
  <c r="O15" i="84"/>
  <c r="K15" i="84"/>
  <c r="G15" i="84"/>
  <c r="N15" i="84"/>
  <c r="I15" i="84"/>
  <c r="D15" i="84"/>
  <c r="M15" i="84"/>
  <c r="H15" i="84"/>
  <c r="Q15" i="84"/>
  <c r="L15" i="84"/>
  <c r="P15" i="84"/>
  <c r="J15" i="84"/>
  <c r="E15" i="84"/>
  <c r="Q31" i="84"/>
  <c r="M31" i="84"/>
  <c r="I31" i="84"/>
  <c r="E31" i="84"/>
  <c r="O31" i="84"/>
  <c r="K31" i="84"/>
  <c r="G31" i="84"/>
  <c r="N31" i="84"/>
  <c r="J31" i="84"/>
  <c r="H31" i="84"/>
  <c r="D31" i="84"/>
  <c r="P31" i="84"/>
  <c r="L31" i="84"/>
  <c r="Q18" i="84"/>
  <c r="M18" i="84"/>
  <c r="I18" i="84"/>
  <c r="E18" i="84"/>
  <c r="O18" i="84"/>
  <c r="J18" i="84"/>
  <c r="D18" i="84"/>
  <c r="N18" i="84"/>
  <c r="H18" i="84"/>
  <c r="L18" i="84"/>
  <c r="G18" i="84"/>
  <c r="P18" i="84"/>
  <c r="K18" i="84"/>
  <c r="O25" i="84"/>
  <c r="K25" i="84"/>
  <c r="G25" i="84"/>
  <c r="N25" i="84"/>
  <c r="J25" i="84"/>
  <c r="Q25" i="84"/>
  <c r="I25" i="84"/>
  <c r="P25" i="84"/>
  <c r="H25" i="84"/>
  <c r="M25" i="84"/>
  <c r="E25" i="84"/>
  <c r="L25" i="84"/>
  <c r="D25" i="84"/>
  <c r="O17" i="84"/>
  <c r="K17" i="84"/>
  <c r="G17" i="84"/>
  <c r="M17" i="84"/>
  <c r="H17" i="84"/>
  <c r="Q17" i="84"/>
  <c r="L17" i="84"/>
  <c r="P17" i="84"/>
  <c r="J17" i="84"/>
  <c r="E17" i="84"/>
  <c r="N17" i="84"/>
  <c r="I17" i="84"/>
  <c r="D17" i="84"/>
  <c r="Q33" i="84"/>
  <c r="M33" i="84"/>
  <c r="I33" i="84"/>
  <c r="E33" i="84"/>
  <c r="O33" i="84"/>
  <c r="K33" i="84"/>
  <c r="G33" i="84"/>
  <c r="N33" i="84"/>
  <c r="J33" i="84"/>
  <c r="L33" i="84"/>
  <c r="H33" i="84"/>
  <c r="D33" i="84"/>
  <c r="P33" i="84"/>
  <c r="Q20" i="84"/>
  <c r="M20" i="84"/>
  <c r="I20" i="84"/>
  <c r="E20" i="84"/>
  <c r="N20" i="84"/>
  <c r="H20" i="84"/>
  <c r="L20" i="84"/>
  <c r="G20" i="84"/>
  <c r="P20" i="84"/>
  <c r="K20" i="84"/>
  <c r="O20" i="84"/>
  <c r="J20" i="84"/>
  <c r="D20" i="84"/>
  <c r="O34" i="84"/>
  <c r="K34" i="84"/>
  <c r="G34" i="84"/>
  <c r="Q34" i="84"/>
  <c r="M34" i="84"/>
  <c r="I34" i="84"/>
  <c r="E34" i="84"/>
  <c r="P34" i="84"/>
  <c r="L34" i="84"/>
  <c r="H34" i="84"/>
  <c r="D34" i="84"/>
  <c r="N34" i="84"/>
  <c r="J34" i="84"/>
  <c r="O21" i="84"/>
  <c r="K21" i="84"/>
  <c r="G21" i="84"/>
  <c r="P21" i="84"/>
  <c r="J21" i="84"/>
  <c r="E21" i="84"/>
  <c r="N21" i="84"/>
  <c r="I21" i="84"/>
  <c r="D21" i="84"/>
  <c r="M21" i="84"/>
  <c r="H21" i="84"/>
  <c r="Q21" i="84"/>
  <c r="L21" i="84"/>
  <c r="Q24" i="84"/>
  <c r="M24" i="84"/>
  <c r="I24" i="84"/>
  <c r="E24" i="84"/>
  <c r="P24" i="84"/>
  <c r="L24" i="84"/>
  <c r="H24" i="84"/>
  <c r="D24" i="84"/>
  <c r="O24" i="84"/>
  <c r="G24" i="84"/>
  <c r="N24" i="84"/>
  <c r="K24" i="84"/>
  <c r="J24" i="84"/>
  <c r="Q16" i="84"/>
  <c r="M16" i="84"/>
  <c r="I16" i="84"/>
  <c r="E16" i="84"/>
  <c r="P16" i="84"/>
  <c r="K16" i="84"/>
  <c r="O16" i="84"/>
  <c r="J16" i="84"/>
  <c r="D16" i="84"/>
  <c r="N16" i="84"/>
  <c r="H16" i="84"/>
  <c r="L16" i="84"/>
  <c r="G16" i="84"/>
  <c r="O32" i="84"/>
  <c r="K32" i="84"/>
  <c r="G32" i="84"/>
  <c r="Q32" i="84"/>
  <c r="M32" i="84"/>
  <c r="I32" i="84"/>
  <c r="E32" i="84"/>
  <c r="P32" i="84"/>
  <c r="L32" i="84"/>
  <c r="H32" i="84"/>
  <c r="D32" i="84"/>
  <c r="J32" i="84"/>
  <c r="N32" i="84"/>
  <c r="O19" i="84"/>
  <c r="K19" i="84"/>
  <c r="G19" i="84"/>
  <c r="Q19" i="84"/>
  <c r="L19" i="84"/>
  <c r="P19" i="84"/>
  <c r="J19" i="84"/>
  <c r="E19" i="84"/>
  <c r="N19" i="84"/>
  <c r="I19" i="84"/>
  <c r="D19" i="84"/>
  <c r="M19" i="84"/>
  <c r="H19" i="84"/>
  <c r="Q35" i="84"/>
  <c r="M35" i="84"/>
  <c r="I35" i="84"/>
  <c r="E35" i="84"/>
  <c r="O35" i="84"/>
  <c r="K35" i="84"/>
  <c r="G35" i="84"/>
  <c r="N35" i="84"/>
  <c r="J35" i="84"/>
  <c r="P35" i="84"/>
  <c r="L35" i="84"/>
  <c r="H35" i="84"/>
  <c r="D35" i="84"/>
  <c r="F35" i="84" s="1"/>
  <c r="Q22" i="84"/>
  <c r="M22" i="84"/>
  <c r="I22" i="84"/>
  <c r="E22" i="84"/>
  <c r="L22" i="84"/>
  <c r="G22" i="84"/>
  <c r="P22" i="84"/>
  <c r="K22" i="84"/>
  <c r="O22" i="84"/>
  <c r="J22" i="84"/>
  <c r="D22" i="84"/>
  <c r="N22" i="84"/>
  <c r="H22" i="84"/>
  <c r="Q14" i="84"/>
  <c r="M14" i="84"/>
  <c r="I14" i="84"/>
  <c r="E14" i="84"/>
  <c r="L14" i="84"/>
  <c r="G14" i="84"/>
  <c r="P14" i="84"/>
  <c r="K14" i="84"/>
  <c r="O14" i="84"/>
  <c r="J14" i="84"/>
  <c r="D14" i="84"/>
  <c r="N14" i="84"/>
  <c r="H14" i="84"/>
  <c r="K13" i="84"/>
  <c r="I13" i="84"/>
  <c r="G13" i="84"/>
  <c r="D13" i="84"/>
  <c r="J13" i="84"/>
  <c r="H13" i="84"/>
  <c r="E13" i="84"/>
  <c r="Q13" i="84"/>
  <c r="O13" i="84"/>
  <c r="M13" i="84"/>
  <c r="P13" i="84"/>
  <c r="N13" i="84"/>
  <c r="L13" i="84"/>
  <c r="E14" i="85"/>
  <c r="G14" i="85"/>
  <c r="D14" i="85"/>
  <c r="J14" i="85" s="1"/>
  <c r="G17" i="86"/>
  <c r="G16" i="86"/>
  <c r="J27" i="35"/>
  <c r="E29" i="35"/>
  <c r="E37" i="35"/>
  <c r="E35" i="35"/>
  <c r="F24" i="84" l="1"/>
  <c r="F26" i="84"/>
  <c r="F27" i="84"/>
  <c r="F28" i="84"/>
  <c r="F31" i="84"/>
  <c r="F23" i="84"/>
  <c r="F18" i="84"/>
  <c r="F15" i="84"/>
  <c r="F21" i="84"/>
  <c r="F22" i="84"/>
  <c r="F17" i="84"/>
  <c r="F20" i="84"/>
  <c r="F34" i="84"/>
  <c r="F33" i="84"/>
  <c r="F32" i="84"/>
  <c r="F19" i="84"/>
  <c r="F25" i="84"/>
  <c r="F16" i="84"/>
  <c r="F14" i="84"/>
  <c r="G14" i="86"/>
  <c r="L14" i="85"/>
  <c r="K14" i="85"/>
  <c r="H14" i="85"/>
  <c r="I14" i="85"/>
  <c r="E27" i="35"/>
  <c r="J24" i="35"/>
  <c r="F13" i="84"/>
  <c r="G21" i="86"/>
  <c r="G19" i="86"/>
  <c r="G15" i="86"/>
  <c r="G18" i="86"/>
  <c r="G20" i="86"/>
  <c r="F14" i="85"/>
  <c r="J19" i="35"/>
  <c r="E24" i="35"/>
  <c r="E31" i="35"/>
  <c r="E21" i="35"/>
  <c r="J22" i="35"/>
  <c r="E16" i="35"/>
  <c r="J14" i="35"/>
  <c r="J16" i="35"/>
  <c r="J28" i="35"/>
  <c r="J12" i="35"/>
  <c r="E30" i="35"/>
  <c r="E32" i="35"/>
  <c r="J20" i="35"/>
  <c r="J23" i="35"/>
  <c r="J25" i="35"/>
  <c r="E40" i="35"/>
  <c r="E42" i="35"/>
  <c r="E19" i="35"/>
  <c r="E20" i="35"/>
  <c r="E22" i="35"/>
  <c r="E23" i="35"/>
  <c r="E28" i="35"/>
  <c r="E34" i="35"/>
  <c r="E36" i="35"/>
  <c r="E38" i="35"/>
  <c r="E14" i="35"/>
  <c r="E39" i="35"/>
  <c r="E41" i="35"/>
  <c r="J9" i="35"/>
  <c r="J11" i="35"/>
  <c r="J13" i="35"/>
  <c r="J15" i="35"/>
  <c r="E11" i="35"/>
  <c r="E12" i="35"/>
  <c r="E15" i="35"/>
  <c r="J8" i="35"/>
  <c r="E8" i="35"/>
  <c r="E9" i="35"/>
  <c r="J18" i="35"/>
  <c r="J7" i="35"/>
  <c r="E45" i="35"/>
  <c r="E7" i="35"/>
  <c r="E44" i="35"/>
  <c r="E26" i="35"/>
  <c r="E18" i="35"/>
  <c r="G77" i="77"/>
  <c r="J77" i="77"/>
  <c r="M77" i="77"/>
  <c r="P77" i="77"/>
  <c r="G78" i="77"/>
  <c r="J78" i="77"/>
  <c r="M78" i="77"/>
  <c r="P78" i="77"/>
  <c r="G79" i="77"/>
  <c r="J79" i="77"/>
  <c r="M79" i="77"/>
  <c r="P79" i="77"/>
  <c r="G80" i="77"/>
  <c r="J80" i="77"/>
  <c r="M80" i="77"/>
  <c r="P80" i="77"/>
  <c r="D71" i="77" l="1"/>
  <c r="D68" i="77"/>
  <c r="D67" i="77"/>
  <c r="D66" i="77"/>
  <c r="D65" i="77"/>
  <c r="D64" i="77"/>
  <c r="D63" i="77"/>
  <c r="D62" i="77"/>
  <c r="D61" i="77"/>
  <c r="D60" i="77"/>
  <c r="D59" i="77"/>
  <c r="D58" i="77"/>
  <c r="D57" i="77"/>
  <c r="D56" i="77"/>
  <c r="D55" i="77"/>
  <c r="D54" i="77"/>
  <c r="D53" i="77"/>
  <c r="D52" i="77"/>
  <c r="D51" i="77"/>
  <c r="D50" i="77"/>
  <c r="D49" i="77"/>
  <c r="D48" i="77"/>
  <c r="D47" i="77"/>
  <c r="D31" i="77"/>
  <c r="D9" i="77"/>
  <c r="D8" i="77"/>
  <c r="D7" i="77"/>
  <c r="J8" i="77" l="1"/>
  <c r="P8" i="77"/>
  <c r="J9" i="77"/>
  <c r="P9" i="77"/>
  <c r="J31" i="77"/>
  <c r="P31" i="77"/>
  <c r="J47" i="77"/>
  <c r="P47" i="77"/>
  <c r="J48" i="77"/>
  <c r="P48" i="77"/>
  <c r="J49" i="77"/>
  <c r="P49" i="77"/>
  <c r="J50" i="77"/>
  <c r="P50" i="77"/>
  <c r="J51" i="77"/>
  <c r="P51" i="77"/>
  <c r="J52" i="77"/>
  <c r="P52" i="77"/>
  <c r="J53" i="77"/>
  <c r="P53" i="77"/>
  <c r="J54" i="77"/>
  <c r="P54" i="77"/>
  <c r="J55" i="77"/>
  <c r="P55" i="77"/>
  <c r="J56" i="77"/>
  <c r="P56" i="77"/>
  <c r="J57" i="77"/>
  <c r="P57" i="77"/>
  <c r="J58" i="77"/>
  <c r="P58" i="77"/>
  <c r="J59" i="77"/>
  <c r="P59" i="77"/>
  <c r="J60" i="77"/>
  <c r="P60" i="77"/>
  <c r="J61" i="77"/>
  <c r="P61" i="77"/>
  <c r="J62" i="77"/>
  <c r="P62" i="77"/>
  <c r="J63" i="77"/>
  <c r="P63" i="77"/>
  <c r="J64" i="77"/>
  <c r="P64" i="77"/>
  <c r="J65" i="77"/>
  <c r="P65" i="77"/>
  <c r="J66" i="77"/>
  <c r="P66" i="77"/>
  <c r="J67" i="77"/>
  <c r="P67" i="77"/>
  <c r="J68" i="77"/>
  <c r="P68" i="77"/>
  <c r="J71" i="77"/>
  <c r="P71" i="77"/>
  <c r="J76" i="77"/>
  <c r="M76" i="77"/>
  <c r="P76" i="77"/>
  <c r="G8" i="77"/>
  <c r="M8" i="77"/>
  <c r="G9" i="77"/>
  <c r="M9" i="77"/>
  <c r="G31" i="77"/>
  <c r="M31" i="77"/>
  <c r="G47" i="77"/>
  <c r="M47" i="77"/>
  <c r="G48" i="77"/>
  <c r="M48" i="77"/>
  <c r="G49" i="77"/>
  <c r="M49" i="77"/>
  <c r="G50" i="77"/>
  <c r="M50" i="77"/>
  <c r="G51" i="77"/>
  <c r="M51" i="77"/>
  <c r="G52" i="77"/>
  <c r="M52" i="77"/>
  <c r="G53" i="77"/>
  <c r="M53" i="77"/>
  <c r="G54" i="77"/>
  <c r="M54" i="77"/>
  <c r="G55" i="77"/>
  <c r="M55" i="77"/>
  <c r="G56" i="77"/>
  <c r="M56" i="77"/>
  <c r="G57" i="77"/>
  <c r="M57" i="77"/>
  <c r="G58" i="77"/>
  <c r="M58" i="77"/>
  <c r="G59" i="77"/>
  <c r="M59" i="77"/>
  <c r="G60" i="77"/>
  <c r="M60" i="77"/>
  <c r="G61" i="77"/>
  <c r="M61" i="77"/>
  <c r="G62" i="77"/>
  <c r="M62" i="77"/>
  <c r="G63" i="77"/>
  <c r="M63" i="77"/>
  <c r="G64" i="77"/>
  <c r="M64" i="77"/>
  <c r="G65" i="77"/>
  <c r="M65" i="77"/>
  <c r="G66" i="77"/>
  <c r="M66" i="77"/>
  <c r="G67" i="77"/>
  <c r="M67" i="77"/>
  <c r="G68" i="77"/>
  <c r="M68" i="77"/>
  <c r="G71" i="77"/>
  <c r="M71" i="77"/>
  <c r="G76" i="77"/>
  <c r="P7" i="77"/>
  <c r="M7" i="77"/>
  <c r="J7" i="77"/>
  <c r="G7" i="77"/>
  <c r="H26" i="35" l="1"/>
  <c r="D43" i="35" l="1"/>
  <c r="C43" i="35"/>
  <c r="E43" i="35" l="1"/>
  <c r="I26" i="35"/>
  <c r="J26" i="35" s="1"/>
  <c r="J10" i="7" l="1"/>
  <c r="J9" i="7"/>
  <c r="J8" i="7"/>
  <c r="J18" i="7" l="1"/>
  <c r="J19" i="7"/>
  <c r="H21" i="35"/>
  <c r="J12" i="7"/>
  <c r="J16" i="7"/>
  <c r="I21" i="35"/>
  <c r="H6" i="35"/>
  <c r="C6" i="35"/>
  <c r="J14" i="7"/>
  <c r="H11" i="7"/>
  <c r="J17" i="7"/>
  <c r="H17" i="35"/>
  <c r="J15" i="7"/>
  <c r="D10" i="35"/>
  <c r="J13" i="7"/>
  <c r="C10" i="35"/>
  <c r="C25" i="35"/>
  <c r="C17" i="35"/>
  <c r="D25" i="35"/>
  <c r="I6" i="35"/>
  <c r="I17" i="35"/>
  <c r="J7" i="7"/>
  <c r="I11" i="7"/>
  <c r="I10" i="35"/>
  <c r="H6" i="7"/>
  <c r="D17" i="35"/>
  <c r="I6" i="7"/>
  <c r="I5" i="7" s="1"/>
  <c r="H10" i="35"/>
  <c r="D6" i="35"/>
  <c r="H5" i="7" l="1"/>
  <c r="J5" i="7" s="1"/>
  <c r="J6" i="35"/>
  <c r="J21" i="35"/>
  <c r="E13" i="35"/>
  <c r="J17" i="35"/>
  <c r="J10" i="35"/>
  <c r="E10" i="35"/>
  <c r="E6" i="35"/>
  <c r="E33" i="35"/>
  <c r="E25" i="35"/>
  <c r="E17" i="35"/>
  <c r="J11" i="7"/>
  <c r="J6" i="7"/>
  <c r="C13" i="83"/>
  <c r="C14" i="83"/>
  <c r="A33" i="83" l="1"/>
  <c r="A21" i="83"/>
  <c r="A32" i="83"/>
  <c r="A24" i="83"/>
  <c r="A31" i="83"/>
  <c r="A17" i="83"/>
  <c r="A34" i="83"/>
  <c r="A25" i="83"/>
  <c r="A23" i="83"/>
  <c r="A18" i="83"/>
  <c r="A19" i="83"/>
  <c r="A15" i="83"/>
  <c r="A14" i="83"/>
  <c r="A35" i="83"/>
  <c r="A20" i="83"/>
  <c r="A16" i="83"/>
  <c r="A22" i="83"/>
  <c r="A13" i="83"/>
  <c r="K20" i="83" l="1"/>
  <c r="G20" i="83"/>
  <c r="J20" i="83"/>
  <c r="D20" i="83"/>
  <c r="I20" i="83"/>
  <c r="H20" i="83"/>
  <c r="E20" i="83"/>
  <c r="K32" i="83"/>
  <c r="G32" i="83"/>
  <c r="J32" i="83"/>
  <c r="H32" i="83"/>
  <c r="E32" i="83"/>
  <c r="D32" i="83"/>
  <c r="I32" i="83"/>
  <c r="H23" i="83"/>
  <c r="D23" i="83"/>
  <c r="K23" i="83"/>
  <c r="G23" i="83"/>
  <c r="I23" i="83"/>
  <c r="E23" i="83"/>
  <c r="F23" i="83" s="1"/>
  <c r="J23" i="83"/>
  <c r="K16" i="83"/>
  <c r="G16" i="83"/>
  <c r="H16" i="83"/>
  <c r="J16" i="83"/>
  <c r="E16" i="83"/>
  <c r="I16" i="83"/>
  <c r="D16" i="83"/>
  <c r="H15" i="83"/>
  <c r="D15" i="83"/>
  <c r="K15" i="83"/>
  <c r="J15" i="83"/>
  <c r="E15" i="83"/>
  <c r="I15" i="83"/>
  <c r="G15" i="83"/>
  <c r="J25" i="83"/>
  <c r="I25" i="83"/>
  <c r="E25" i="83"/>
  <c r="G25" i="83"/>
  <c r="D25" i="83"/>
  <c r="K25" i="83"/>
  <c r="H25" i="83"/>
  <c r="K24" i="83"/>
  <c r="G24" i="83"/>
  <c r="J24" i="83"/>
  <c r="H24" i="83"/>
  <c r="E24" i="83"/>
  <c r="D24" i="83"/>
  <c r="I24" i="83"/>
  <c r="I34" i="83"/>
  <c r="E34" i="83"/>
  <c r="H34" i="83"/>
  <c r="D34" i="83"/>
  <c r="K34" i="83"/>
  <c r="J34" i="83"/>
  <c r="G34" i="83"/>
  <c r="H35" i="83"/>
  <c r="D35" i="83"/>
  <c r="K35" i="83"/>
  <c r="G35" i="83"/>
  <c r="E35" i="83"/>
  <c r="J35" i="83"/>
  <c r="I35" i="83"/>
  <c r="F35" i="83"/>
  <c r="I18" i="83"/>
  <c r="E18" i="83"/>
  <c r="H18" i="83"/>
  <c r="K18" i="83"/>
  <c r="D18" i="83"/>
  <c r="J18" i="83"/>
  <c r="G18" i="83"/>
  <c r="J17" i="83"/>
  <c r="I17" i="83"/>
  <c r="D17" i="83"/>
  <c r="H17" i="83"/>
  <c r="G17" i="83"/>
  <c r="K17" i="83"/>
  <c r="E17" i="83"/>
  <c r="F17" i="83" s="1"/>
  <c r="J21" i="83"/>
  <c r="I21" i="83"/>
  <c r="E21" i="83"/>
  <c r="K21" i="83"/>
  <c r="H21" i="83"/>
  <c r="G21" i="83"/>
  <c r="D21" i="83"/>
  <c r="H19" i="83"/>
  <c r="D19" i="83"/>
  <c r="K19" i="83"/>
  <c r="G19" i="83"/>
  <c r="E19" i="83"/>
  <c r="J19" i="83"/>
  <c r="I19" i="83"/>
  <c r="I22" i="83"/>
  <c r="E22" i="83"/>
  <c r="H22" i="83"/>
  <c r="D22" i="83"/>
  <c r="J22" i="83"/>
  <c r="G22" i="83"/>
  <c r="K22" i="83"/>
  <c r="H31" i="83"/>
  <c r="D31" i="83"/>
  <c r="K31" i="83"/>
  <c r="G31" i="83"/>
  <c r="I31" i="83"/>
  <c r="E31" i="83"/>
  <c r="F31" i="83" s="1"/>
  <c r="J31" i="83"/>
  <c r="J33" i="83"/>
  <c r="I33" i="83"/>
  <c r="E33" i="83"/>
  <c r="G33" i="83"/>
  <c r="D33" i="83"/>
  <c r="K33" i="83"/>
  <c r="H33" i="83"/>
  <c r="I14" i="83"/>
  <c r="E14" i="83"/>
  <c r="H14" i="83"/>
  <c r="D14" i="83"/>
  <c r="K14" i="83"/>
  <c r="J14" i="83"/>
  <c r="G14" i="83"/>
  <c r="D13" i="83"/>
  <c r="I13" i="83"/>
  <c r="G13" i="83"/>
  <c r="J13" i="83"/>
  <c r="H13" i="83"/>
  <c r="K13" i="83"/>
  <c r="E13" i="83"/>
  <c r="F19" i="83" l="1"/>
  <c r="F20" i="83"/>
  <c r="F24" i="83"/>
  <c r="F33" i="83"/>
  <c r="F34" i="83"/>
  <c r="F32" i="83"/>
  <c r="F22" i="83"/>
  <c r="F21" i="83"/>
  <c r="F15" i="83"/>
  <c r="F25" i="83"/>
  <c r="F18" i="83"/>
  <c r="F16" i="83"/>
  <c r="F14" i="83"/>
  <c r="F13" i="8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McFadden, Patrick, VBAVACO</author>
    <author>Mikuliak, Alex, VBAVACO</author>
  </authors>
  <commentList>
    <comment ref="C4" authorId="0" shapeId="0" xr:uid="{00000000-0006-0000-0800-000001000000}">
      <text>
        <r>
          <rPr>
            <b/>
            <sz val="12"/>
            <color indexed="81"/>
            <rFont val="Tahoma"/>
            <family val="2"/>
          </rPr>
          <t>Compensation Non-Rating Bundle End Products:</t>
        </r>
        <r>
          <rPr>
            <sz val="9"/>
            <color indexed="81"/>
            <rFont val="Tahoma"/>
            <family val="2"/>
          </rPr>
          <t xml:space="preserve">
</t>
        </r>
        <r>
          <rPr>
            <sz val="12"/>
            <color indexed="81"/>
            <rFont val="Tahoma"/>
            <family val="2"/>
          </rPr>
          <t>EP 130, EP 290</t>
        </r>
      </text>
    </comment>
    <comment ref="E4" authorId="0" shapeId="0" xr:uid="{00000000-0006-0000-0800-000002000000}">
      <text>
        <r>
          <rPr>
            <b/>
            <sz val="12"/>
            <color indexed="81"/>
            <rFont val="Tahoma"/>
            <family val="2"/>
          </rPr>
          <t>Compensation Entitlement Bundle End Products:</t>
        </r>
        <r>
          <rPr>
            <sz val="12"/>
            <color indexed="81"/>
            <rFont val="Tahoma"/>
            <family val="2"/>
          </rPr>
          <t xml:space="preserve">  
EP 095, EP 010, EP 110, EP 140,  EP 410, EP 020, EP 320, EP 420</t>
        </r>
      </text>
    </comment>
    <comment ref="H4" authorId="0" shapeId="0" xr:uid="{00000000-0006-0000-0800-000003000000}">
      <text>
        <r>
          <rPr>
            <b/>
            <sz val="12"/>
            <color indexed="81"/>
            <rFont val="Tahoma"/>
            <family val="2"/>
          </rPr>
          <t xml:space="preserve">Compensation Award Adjustment Bundle End Products:  </t>
        </r>
        <r>
          <rPr>
            <sz val="12"/>
            <color indexed="81"/>
            <rFont val="Tahoma"/>
            <family val="2"/>
          </rPr>
          <t xml:space="preserve">
EP 130, EP 133,  EP 135, EP 290, EP 450, EP 310, EP 600</t>
        </r>
      </text>
    </comment>
    <comment ref="K4" authorId="0" shapeId="0" xr:uid="{00000000-0006-0000-0800-000004000000}">
      <text>
        <r>
          <rPr>
            <b/>
            <sz val="12"/>
            <color indexed="81"/>
            <rFont val="Tahoma"/>
            <family val="2"/>
          </rPr>
          <t xml:space="preserve">Compensation Program Review Bundle End Products:  </t>
        </r>
        <r>
          <rPr>
            <sz val="12"/>
            <color indexed="81"/>
            <rFont val="Tahoma"/>
            <family val="2"/>
          </rPr>
          <t xml:space="preserve">
EP 314, EP 330, EP 680, EP 682, EP 684, EP 685, EP 690</t>
        </r>
      </text>
    </comment>
    <comment ref="N4" authorId="0" shapeId="0" xr:uid="{00000000-0006-0000-0800-000005000000}">
      <text>
        <r>
          <rPr>
            <b/>
            <sz val="12"/>
            <color indexed="81"/>
            <rFont val="Tahoma"/>
            <family val="2"/>
          </rPr>
          <t xml:space="preserve">Compensation Other Bundle End Products: </t>
        </r>
        <r>
          <rPr>
            <sz val="12"/>
            <color indexed="81"/>
            <rFont val="Tahoma"/>
            <family val="2"/>
          </rPr>
          <t xml:space="preserve">
EP 293, EP 295, EP 400, EP 500, EP 510, EP 930, EP 960, EP 681, EP 687, EP 405, EP 409 </t>
        </r>
      </text>
    </comment>
    <comment ref="Q4" authorId="0" shapeId="0" xr:uid="{00000000-0006-0000-0800-000006000000}">
      <text>
        <r>
          <rPr>
            <b/>
            <sz val="12"/>
            <color indexed="81"/>
            <rFont val="Tahoma"/>
            <family val="2"/>
          </rPr>
          <t xml:space="preserve">Compensation Burial End Products: </t>
        </r>
        <r>
          <rPr>
            <b/>
            <sz val="9"/>
            <color indexed="81"/>
            <rFont val="Tahoma"/>
            <family val="2"/>
          </rPr>
          <t xml:space="preserve">
</t>
        </r>
        <r>
          <rPr>
            <sz val="12"/>
            <color indexed="81"/>
            <rFont val="Tahoma"/>
            <family val="2"/>
          </rPr>
          <t>EP 160</t>
        </r>
      </text>
    </comment>
    <comment ref="R4" authorId="0" shapeId="0" xr:uid="{00000000-0006-0000-0800-000007000000}">
      <text>
        <r>
          <rPr>
            <b/>
            <sz val="12"/>
            <color indexed="81"/>
            <rFont val="Tahoma"/>
            <family val="2"/>
          </rPr>
          <t>Compensation Accrued End Products:</t>
        </r>
        <r>
          <rPr>
            <b/>
            <sz val="9"/>
            <color indexed="81"/>
            <rFont val="Tahoma"/>
            <family val="2"/>
          </rPr>
          <t xml:space="preserve"> 
</t>
        </r>
        <r>
          <rPr>
            <sz val="12"/>
            <color indexed="81"/>
            <rFont val="Tahoma"/>
            <family val="2"/>
          </rPr>
          <t>EP 165</t>
        </r>
      </text>
    </comment>
    <comment ref="S71" authorId="1" shapeId="0" xr:uid="{00000000-0006-0000-0800-000008000000}">
      <text>
        <r>
          <rPr>
            <b/>
            <sz val="8"/>
            <color indexed="81"/>
            <rFont val="Tahoma"/>
            <family val="2"/>
          </rPr>
          <t>Pending Remands Sent to the Appeals Management Center</t>
        </r>
      </text>
    </comment>
    <comment ref="C74" authorId="0" shapeId="0" xr:uid="{00000000-0006-0000-0800-000009000000}">
      <text>
        <r>
          <rPr>
            <b/>
            <sz val="12"/>
            <color indexed="81"/>
            <rFont val="Tahoma"/>
            <family val="2"/>
          </rPr>
          <t>Pension Non-Rating Bundle End Products:</t>
        </r>
        <r>
          <rPr>
            <sz val="9"/>
            <color indexed="81"/>
            <rFont val="Tahoma"/>
            <family val="2"/>
          </rPr>
          <t xml:space="preserve">
</t>
        </r>
        <r>
          <rPr>
            <sz val="12"/>
            <color indexed="81"/>
            <rFont val="Tahoma"/>
            <family val="2"/>
          </rPr>
          <t>EP 137, EP 297, EP 150</t>
        </r>
      </text>
    </comment>
    <comment ref="E74" authorId="0" shapeId="0" xr:uid="{00000000-0006-0000-0800-00000A000000}">
      <text>
        <r>
          <rPr>
            <b/>
            <sz val="12"/>
            <color indexed="81"/>
            <rFont val="Tahoma"/>
            <family val="2"/>
          </rPr>
          <t>Pension Entitlement Bundle End Products:</t>
        </r>
        <r>
          <rPr>
            <sz val="12"/>
            <color indexed="81"/>
            <rFont val="Tahoma"/>
            <family val="2"/>
          </rPr>
          <t xml:space="preserve">  
EP 180, EP 120, EP 190</t>
        </r>
      </text>
    </comment>
    <comment ref="H74" authorId="0" shapeId="0" xr:uid="{00000000-0006-0000-0800-00000B000000}">
      <text>
        <r>
          <rPr>
            <b/>
            <sz val="12"/>
            <color indexed="81"/>
            <rFont val="Tahoma"/>
            <family val="2"/>
          </rPr>
          <t xml:space="preserve">Pension Award Bundle End Products:  </t>
        </r>
        <r>
          <rPr>
            <sz val="12"/>
            <color indexed="81"/>
            <rFont val="Tahoma"/>
            <family val="2"/>
          </rPr>
          <t xml:space="preserve">
EP 135, EP 137,  EP 150, 
EP 155, EP 297, EP 607</t>
        </r>
      </text>
    </comment>
    <comment ref="K74" authorId="0" shapeId="0" xr:uid="{00000000-0006-0000-0800-00000C000000}">
      <text>
        <r>
          <rPr>
            <b/>
            <sz val="12"/>
            <color indexed="81"/>
            <rFont val="Tahoma"/>
            <family val="2"/>
          </rPr>
          <t xml:space="preserve">Pension Program Review Bundle End Products:  </t>
        </r>
        <r>
          <rPr>
            <sz val="12"/>
            <color indexed="81"/>
            <rFont val="Tahoma"/>
            <family val="2"/>
          </rPr>
          <t xml:space="preserve">
EP 154, EP 696, EP 697</t>
        </r>
      </text>
    </comment>
    <comment ref="N74" authorId="0" shapeId="0" xr:uid="{00000000-0006-0000-0800-00000D000000}">
      <text>
        <r>
          <rPr>
            <b/>
            <sz val="12"/>
            <color indexed="81"/>
            <rFont val="Tahoma"/>
            <family val="2"/>
          </rPr>
          <t xml:space="preserve">Pension Other Bundle End Products: </t>
        </r>
        <r>
          <rPr>
            <sz val="12"/>
            <color indexed="81"/>
            <rFont val="Tahoma"/>
            <family val="2"/>
          </rPr>
          <t xml:space="preserve">
EP 407, EP 507, EP 937</t>
        </r>
      </text>
    </comment>
    <comment ref="Q74" authorId="0" shapeId="0" xr:uid="{00000000-0006-0000-0800-00000E000000}">
      <text>
        <r>
          <rPr>
            <b/>
            <sz val="12"/>
            <color indexed="81"/>
            <rFont val="Tahoma"/>
            <family val="2"/>
          </rPr>
          <t xml:space="preserve">Pension Burial End Products: </t>
        </r>
        <r>
          <rPr>
            <b/>
            <sz val="9"/>
            <color indexed="81"/>
            <rFont val="Tahoma"/>
            <family val="2"/>
          </rPr>
          <t xml:space="preserve">
</t>
        </r>
        <r>
          <rPr>
            <sz val="12"/>
            <color indexed="81"/>
            <rFont val="Tahoma"/>
            <family val="2"/>
          </rPr>
          <t>EP 160</t>
        </r>
      </text>
    </comment>
    <comment ref="R74" authorId="0" shapeId="0" xr:uid="{00000000-0006-0000-0800-00000F000000}">
      <text>
        <r>
          <rPr>
            <b/>
            <sz val="12"/>
            <color indexed="81"/>
            <rFont val="Tahoma"/>
            <family val="2"/>
          </rPr>
          <t>Pension Accrued End Products:</t>
        </r>
        <r>
          <rPr>
            <b/>
            <sz val="9"/>
            <color indexed="81"/>
            <rFont val="Tahoma"/>
            <family val="2"/>
          </rPr>
          <t xml:space="preserve"> 
</t>
        </r>
        <r>
          <rPr>
            <sz val="12"/>
            <color indexed="81"/>
            <rFont val="Tahoma"/>
            <family val="2"/>
          </rPr>
          <t>EP 165</t>
        </r>
      </text>
    </comment>
    <comment ref="B80" authorId="1" shapeId="0" xr:uid="{00000000-0006-0000-0800-000010000000}">
      <text>
        <r>
          <rPr>
            <b/>
            <sz val="14"/>
            <color indexed="81"/>
            <rFont val="Tahoma"/>
            <family val="2"/>
          </rPr>
          <t>In Transit to a Pension Maintenance Center</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MMWR_DT" type="1" refreshedVersion="6" savePassword="1" deleted="1" saveData="1">
    <dbPr connection="" command=""/>
  </connection>
  <connection id="2" xr16:uid="{00000000-0015-0000-FFFF-FFFF01000000}" name="MMWR_RU" type="1" refreshedVersion="6" savePassword="1" deleted="1" saveData="1">
    <dbPr connection="" command=""/>
  </connection>
</connections>
</file>

<file path=xl/sharedStrings.xml><?xml version="1.0" encoding="utf-8"?>
<sst xmlns="http://schemas.openxmlformats.org/spreadsheetml/2006/main" count="9505" uniqueCount="888">
  <si>
    <t>Supplemental Entitlement</t>
  </si>
  <si>
    <t>Pending over 125 days</t>
  </si>
  <si>
    <t>Percent Pending over 125 days</t>
  </si>
  <si>
    <t># Pending</t>
  </si>
  <si>
    <t>USA</t>
  </si>
  <si>
    <t xml:space="preserve">Award Adjustment </t>
  </si>
  <si>
    <t>Other</t>
  </si>
  <si>
    <t xml:space="preserve">Burial  </t>
  </si>
  <si>
    <t xml:space="preserve">Accrued  </t>
  </si>
  <si>
    <t>Appeals</t>
  </si>
  <si>
    <t>Claims Pending</t>
  </si>
  <si>
    <t>Award Adjustments</t>
  </si>
  <si>
    <t>Future examination for disabilities</t>
  </si>
  <si>
    <t>Program Reviews</t>
  </si>
  <si>
    <t>Initial claims from surviving spouses, children or parents</t>
  </si>
  <si>
    <t>Increased evaluation and/or additional claimed conditions</t>
  </si>
  <si>
    <t>Increased entitlement due to hospitalization or surgery</t>
  </si>
  <si>
    <t>095</t>
  </si>
  <si>
    <t>010</t>
  </si>
  <si>
    <t>020</t>
  </si>
  <si>
    <t>Buffalo</t>
  </si>
  <si>
    <t>Atlanta</t>
  </si>
  <si>
    <t>St Louis</t>
  </si>
  <si>
    <t>Muskogee</t>
  </si>
  <si>
    <t xml:space="preserve">Program Reviews </t>
  </si>
  <si>
    <t>Albuquerque</t>
  </si>
  <si>
    <t>Anchorage</t>
  </si>
  <si>
    <t>Baltimore</t>
  </si>
  <si>
    <t>Boise</t>
  </si>
  <si>
    <t>Boston</t>
  </si>
  <si>
    <t>Chicago</t>
  </si>
  <si>
    <t>Cleveland</t>
  </si>
  <si>
    <t>Columbia</t>
  </si>
  <si>
    <t>Denver</t>
  </si>
  <si>
    <t>Des Moines</t>
  </si>
  <si>
    <t>Detroit</t>
  </si>
  <si>
    <t>Fargo</t>
  </si>
  <si>
    <t>Hartford</t>
  </si>
  <si>
    <t>Honolulu</t>
  </si>
  <si>
    <t>Houston</t>
  </si>
  <si>
    <t>Huntington</t>
  </si>
  <si>
    <t>Indianapolis</t>
  </si>
  <si>
    <t>Jackson</t>
  </si>
  <si>
    <t>Lincoln</t>
  </si>
  <si>
    <t>Little Rock</t>
  </si>
  <si>
    <t>Los Angeles</t>
  </si>
  <si>
    <t>Louisville</t>
  </si>
  <si>
    <t>Manchester</t>
  </si>
  <si>
    <t>Manila</t>
  </si>
  <si>
    <t>Milwaukee</t>
  </si>
  <si>
    <t>Montgomery</t>
  </si>
  <si>
    <t>Nashville</t>
  </si>
  <si>
    <t>New Orleans</t>
  </si>
  <si>
    <t>New York</t>
  </si>
  <si>
    <t>Newark</t>
  </si>
  <si>
    <t>Oakland</t>
  </si>
  <si>
    <t>Philadelphia</t>
  </si>
  <si>
    <t>Phoenix</t>
  </si>
  <si>
    <t>Pittsburgh</t>
  </si>
  <si>
    <t>Portland</t>
  </si>
  <si>
    <t>Providence</t>
  </si>
  <si>
    <t>Reno</t>
  </si>
  <si>
    <t>Roanoke</t>
  </si>
  <si>
    <t>Salt Lake City</t>
  </si>
  <si>
    <t>San Diego</t>
  </si>
  <si>
    <t>San Juan</t>
  </si>
  <si>
    <t>Seattle</t>
  </si>
  <si>
    <t>Sioux Falls</t>
  </si>
  <si>
    <t>St. Louis</t>
  </si>
  <si>
    <t>St. Paul</t>
  </si>
  <si>
    <t>St. Petersburg</t>
  </si>
  <si>
    <t>Togus</t>
  </si>
  <si>
    <t>Waco</t>
  </si>
  <si>
    <t>Washington</t>
  </si>
  <si>
    <t>Wichita</t>
  </si>
  <si>
    <t>Wilmington</t>
  </si>
  <si>
    <t>Winston-Salem</t>
  </si>
  <si>
    <t>110</t>
  </si>
  <si>
    <t>405</t>
  </si>
  <si>
    <t>140</t>
  </si>
  <si>
    <t>320</t>
  </si>
  <si>
    <t>681</t>
  </si>
  <si>
    <t>420</t>
  </si>
  <si>
    <t>450</t>
  </si>
  <si>
    <t>410</t>
  </si>
  <si>
    <t>133</t>
  </si>
  <si>
    <t>310</t>
  </si>
  <si>
    <t>135</t>
  </si>
  <si>
    <t>690</t>
  </si>
  <si>
    <t>314</t>
  </si>
  <si>
    <t>510</t>
  </si>
  <si>
    <t>120</t>
  </si>
  <si>
    <t>180</t>
  </si>
  <si>
    <t>190</t>
  </si>
  <si>
    <t>607</t>
  </si>
  <si>
    <t>297</t>
  </si>
  <si>
    <t>137</t>
  </si>
  <si>
    <t>697</t>
  </si>
  <si>
    <t>696</t>
  </si>
  <si>
    <t>154</t>
  </si>
  <si>
    <t>937</t>
  </si>
  <si>
    <t>507</t>
  </si>
  <si>
    <t>967</t>
  </si>
  <si>
    <t>407</t>
  </si>
  <si>
    <t>165</t>
  </si>
  <si>
    <t>690G</t>
  </si>
  <si>
    <t>ADP</t>
  </si>
  <si>
    <t>Avg. Days Pending</t>
  </si>
  <si>
    <t>White River Junction</t>
  </si>
  <si>
    <t>301</t>
  </si>
  <si>
    <t>304</t>
  </si>
  <si>
    <t>306</t>
  </si>
  <si>
    <t>307</t>
  </si>
  <si>
    <t>308</t>
  </si>
  <si>
    <t>309</t>
  </si>
  <si>
    <t>311</t>
  </si>
  <si>
    <t>313</t>
  </si>
  <si>
    <t>315</t>
  </si>
  <si>
    <t>316</t>
  </si>
  <si>
    <t>317</t>
  </si>
  <si>
    <t>318</t>
  </si>
  <si>
    <t>319</t>
  </si>
  <si>
    <t>321</t>
  </si>
  <si>
    <t>322</t>
  </si>
  <si>
    <t>323</t>
  </si>
  <si>
    <t>325</t>
  </si>
  <si>
    <t>326</t>
  </si>
  <si>
    <t>327</t>
  </si>
  <si>
    <t>328</t>
  </si>
  <si>
    <t>329</t>
  </si>
  <si>
    <t>330</t>
  </si>
  <si>
    <t>331</t>
  </si>
  <si>
    <t>333</t>
  </si>
  <si>
    <t>334</t>
  </si>
  <si>
    <t>335</t>
  </si>
  <si>
    <t>339</t>
  </si>
  <si>
    <t>340</t>
  </si>
  <si>
    <t>341</t>
  </si>
  <si>
    <t>343</t>
  </si>
  <si>
    <t>344</t>
  </si>
  <si>
    <t>345</t>
  </si>
  <si>
    <t>346</t>
  </si>
  <si>
    <t>347</t>
  </si>
  <si>
    <t>348</t>
  </si>
  <si>
    <t>349</t>
  </si>
  <si>
    <t>350</t>
  </si>
  <si>
    <t>351</t>
  </si>
  <si>
    <t>354</t>
  </si>
  <si>
    <t>355</t>
  </si>
  <si>
    <t>358</t>
  </si>
  <si>
    <t>362</t>
  </si>
  <si>
    <t>373</t>
  </si>
  <si>
    <t>377</t>
  </si>
  <si>
    <t>402</t>
  </si>
  <si>
    <t>436</t>
  </si>
  <si>
    <t>437</t>
  </si>
  <si>
    <t>438</t>
  </si>
  <si>
    <t>452</t>
  </si>
  <si>
    <t>459</t>
  </si>
  <si>
    <t>460</t>
  </si>
  <si>
    <t>463</t>
  </si>
  <si>
    <t>EP 010</t>
  </si>
  <si>
    <t>EP 110</t>
  </si>
  <si>
    <t>EP 020</t>
  </si>
  <si>
    <t>EP 180</t>
  </si>
  <si>
    <t>EP 120</t>
  </si>
  <si>
    <t>EP 140</t>
  </si>
  <si>
    <t>EP 310</t>
  </si>
  <si>
    <t>EP 320</t>
  </si>
  <si>
    <t xml:space="preserve">Initial entitlement for Pension - Veteran </t>
  </si>
  <si>
    <t>Increased entitlement and/or reconsideration for Pension</t>
  </si>
  <si>
    <t>EP 681</t>
  </si>
  <si>
    <t>EP 687</t>
  </si>
  <si>
    <t>EP 405</t>
  </si>
  <si>
    <t>EP 409</t>
  </si>
  <si>
    <t>Milwaukee PMC</t>
  </si>
  <si>
    <t>Philadelphia PMC</t>
  </si>
  <si>
    <t>St. Paul PMC</t>
  </si>
  <si>
    <t>AWD</t>
  </si>
  <si>
    <t>Pension Other</t>
  </si>
  <si>
    <t>Non-Rating</t>
  </si>
  <si>
    <t>Original Entitlement</t>
  </si>
  <si>
    <t>Initial entitlement - Veteran's Pension</t>
  </si>
  <si>
    <t>Pension Entitlement</t>
  </si>
  <si>
    <t>Pension Award Adjustments</t>
  </si>
  <si>
    <t>Compensation Other</t>
  </si>
  <si>
    <t>Compensation Entitlement</t>
  </si>
  <si>
    <t>Total</t>
  </si>
  <si>
    <t>EP 010 - Initial entitlement for service-connected disability (=&gt;8)</t>
  </si>
  <si>
    <t>EP 110 - Initial entitlement for service-connected disability (&lt;=7)</t>
  </si>
  <si>
    <t>EP 095 - Initial entitlement decisions for Voc Rehab</t>
  </si>
  <si>
    <t>EP 020 - Increased evaluation and/or additional claimed conditions</t>
  </si>
  <si>
    <t>EP 320 -Increased entitlement due to hospitalization or surgery</t>
  </si>
  <si>
    <t>EP 420 - Spina bifida and/or birth defects reconsideration</t>
  </si>
  <si>
    <t>EP 130 - Dependency</t>
  </si>
  <si>
    <t>EP 133 - Survivor restored entitlement</t>
  </si>
  <si>
    <t>EP 135 - Hospitalization adjustment (non-rating)</t>
  </si>
  <si>
    <t>EP 290 - Misc determinations</t>
  </si>
  <si>
    <t>EP 450 - Spina bifida and/or birth defects adjustments</t>
  </si>
  <si>
    <t>EP 310 -Future examination for disabilities</t>
  </si>
  <si>
    <t>EP 600 - Due process</t>
  </si>
  <si>
    <t xml:space="preserve">Original Entitlement </t>
  </si>
  <si>
    <t xml:space="preserve">EP 120 - Increased entitlement and/or reconsideration </t>
  </si>
  <si>
    <t xml:space="preserve">EP 180 - Initial entitlement - Veteran </t>
  </si>
  <si>
    <t xml:space="preserve">EP 190 - Initial entitlement - Survivor </t>
  </si>
  <si>
    <t>EP 137 - Dependency</t>
  </si>
  <si>
    <t>EP 140 - Initial claims from surviving spouses, children or parents</t>
  </si>
  <si>
    <t>EP 150 - Income adjustments</t>
  </si>
  <si>
    <t>EP 155 - Annual eligibility verification reporting (EVRs)</t>
  </si>
  <si>
    <t>EP 297 - Misc determinations</t>
  </si>
  <si>
    <t>EP 607 - Due process</t>
  </si>
  <si>
    <t>EP 154 - Income Verification Match</t>
  </si>
  <si>
    <t>EP 697 - Non-entitlement reviews</t>
  </si>
  <si>
    <t>EP 937 - Internal quality reviews</t>
  </si>
  <si>
    <t xml:space="preserve">EP 507 - Congressional correspondence </t>
  </si>
  <si>
    <t xml:space="preserve">EP 407 - Correspondence </t>
  </si>
  <si>
    <t>Measurement</t>
  </si>
  <si>
    <t>EP 314 - Income verification for unemployability</t>
  </si>
  <si>
    <t xml:space="preserve">EP 680 - Review of Hemodialysis related cases/conditions </t>
  </si>
  <si>
    <t>EP 682 - Review of Radiation related cases/conditions</t>
  </si>
  <si>
    <t>EP 684 - Review of Misc cases referred to central office</t>
  </si>
  <si>
    <t>EP 685 - Review of effective date related to herbicide exposure</t>
  </si>
  <si>
    <t>EP 690 - Cost of Living Adjustments (COLAs) and other reviews</t>
  </si>
  <si>
    <t>EP 690 - Social Security number verification</t>
  </si>
  <si>
    <t xml:space="preserve">EP 400 - Correspondence </t>
  </si>
  <si>
    <t>EP 500 - Congressional correspondence</t>
  </si>
  <si>
    <t>EP 510 - Freedom of Information Act (FOIA) requests</t>
  </si>
  <si>
    <t>EP 930 - Review, including quality assurance</t>
  </si>
  <si>
    <t>EP 960 - Correction of errors</t>
  </si>
  <si>
    <t>EP 696 - Cost of Living Adjustments</t>
  </si>
  <si>
    <t>EP 967 - Correction of errors</t>
  </si>
  <si>
    <t>AR</t>
  </si>
  <si>
    <t>WI</t>
  </si>
  <si>
    <t>FL</t>
  </si>
  <si>
    <t>NM</t>
  </si>
  <si>
    <t>WY</t>
  </si>
  <si>
    <t>LA</t>
  </si>
  <si>
    <t>VA</t>
  </si>
  <si>
    <t>NE</t>
  </si>
  <si>
    <t>ND</t>
  </si>
  <si>
    <t>DE</t>
  </si>
  <si>
    <t>MA</t>
  </si>
  <si>
    <t>MI</t>
  </si>
  <si>
    <t>TX</t>
  </si>
  <si>
    <t>NV</t>
  </si>
  <si>
    <t>WA</t>
  </si>
  <si>
    <t>IN</t>
  </si>
  <si>
    <t>PR</t>
  </si>
  <si>
    <t>CA</t>
  </si>
  <si>
    <t>MN</t>
  </si>
  <si>
    <t>ID</t>
  </si>
  <si>
    <t>NY</t>
  </si>
  <si>
    <t>KY</t>
  </si>
  <si>
    <t>WV</t>
  </si>
  <si>
    <t>OK</t>
  </si>
  <si>
    <t>MO</t>
  </si>
  <si>
    <t>SC</t>
  </si>
  <si>
    <t>SD</t>
  </si>
  <si>
    <t>MD</t>
  </si>
  <si>
    <t>TN</t>
  </si>
  <si>
    <t>UT</t>
  </si>
  <si>
    <t>AZ</t>
  </si>
  <si>
    <t>DC</t>
  </si>
  <si>
    <t>PA</t>
  </si>
  <si>
    <t>NC</t>
  </si>
  <si>
    <t>IL</t>
  </si>
  <si>
    <t>CO</t>
  </si>
  <si>
    <t>OR</t>
  </si>
  <si>
    <t>ME</t>
  </si>
  <si>
    <t>CT</t>
  </si>
  <si>
    <t>AL</t>
  </si>
  <si>
    <t>MS</t>
  </si>
  <si>
    <t>OH</t>
  </si>
  <si>
    <t>NJ</t>
  </si>
  <si>
    <t>MT</t>
  </si>
  <si>
    <t>NH</t>
  </si>
  <si>
    <t>RI</t>
  </si>
  <si>
    <t>HI</t>
  </si>
  <si>
    <t>GA</t>
  </si>
  <si>
    <t>IA</t>
  </si>
  <si>
    <t>KS</t>
  </si>
  <si>
    <t>VT</t>
  </si>
  <si>
    <t>Massachusetts</t>
  </si>
  <si>
    <t>Rhode Island</t>
  </si>
  <si>
    <t>Connecticut</t>
  </si>
  <si>
    <t>New Jersey</t>
  </si>
  <si>
    <t>Pennsylvania</t>
  </si>
  <si>
    <t>Maryland</t>
  </si>
  <si>
    <t>Virginia</t>
  </si>
  <si>
    <t>West Virginia</t>
  </si>
  <si>
    <t>Southeast</t>
  </si>
  <si>
    <t>Georgia</t>
  </si>
  <si>
    <t>North Carolina</t>
  </si>
  <si>
    <t>South Carolina</t>
  </si>
  <si>
    <t>Tennessee</t>
  </si>
  <si>
    <t>Continental</t>
  </si>
  <si>
    <t>Louisiana</t>
  </si>
  <si>
    <t>Alabama</t>
  </si>
  <si>
    <t>Mississippi</t>
  </si>
  <si>
    <t>Ohio</t>
  </si>
  <si>
    <t>Indiana</t>
  </si>
  <si>
    <t>Kentucky</t>
  </si>
  <si>
    <t>Illinois</t>
  </si>
  <si>
    <t>Michigan</t>
  </si>
  <si>
    <t>Wisconsin</t>
  </si>
  <si>
    <t>Missouri</t>
  </si>
  <si>
    <t>Iowa</t>
  </si>
  <si>
    <t>Nebraska</t>
  </si>
  <si>
    <t>Minnesota</t>
  </si>
  <si>
    <t>Colorado</t>
  </si>
  <si>
    <t>Pacific</t>
  </si>
  <si>
    <t>New Mexico</t>
  </si>
  <si>
    <t>Utah</t>
  </si>
  <si>
    <t>California</t>
  </si>
  <si>
    <t>Idaho</t>
  </si>
  <si>
    <t>Oregon</t>
  </si>
  <si>
    <t>Texas</t>
  </si>
  <si>
    <t>Arkansas</t>
  </si>
  <si>
    <t>Oklahoma</t>
  </si>
  <si>
    <t>Nevada</t>
  </si>
  <si>
    <t>District of Columbia</t>
  </si>
  <si>
    <t>New Hampshire</t>
  </si>
  <si>
    <t>Maine</t>
  </si>
  <si>
    <t>Vermont</t>
  </si>
  <si>
    <t>Montana</t>
  </si>
  <si>
    <t>North Dakota</t>
  </si>
  <si>
    <t>South Dakota</t>
  </si>
  <si>
    <t>Wyoming</t>
  </si>
  <si>
    <t>Kansas</t>
  </si>
  <si>
    <t>Delaware</t>
  </si>
  <si>
    <t>Alaska</t>
  </si>
  <si>
    <t>Florida</t>
  </si>
  <si>
    <t>Arizona</t>
  </si>
  <si>
    <t>Puerto Rico</t>
  </si>
  <si>
    <t>Hawaii</t>
  </si>
  <si>
    <t>Continental District</t>
  </si>
  <si>
    <t>Pacific District</t>
  </si>
  <si>
    <t>Southeast District</t>
  </si>
  <si>
    <t>1</t>
  </si>
  <si>
    <t>2</t>
  </si>
  <si>
    <t>4</t>
  </si>
  <si>
    <t>5</t>
  </si>
  <si>
    <t>6</t>
  </si>
  <si>
    <t>7</t>
  </si>
  <si>
    <t>8</t>
  </si>
  <si>
    <t>9</t>
  </si>
  <si>
    <t>11</t>
  </si>
  <si>
    <t>12</t>
  </si>
  <si>
    <t>13</t>
  </si>
  <si>
    <t>14</t>
  </si>
  <si>
    <t xml:space="preserve"> </t>
  </si>
  <si>
    <t>USA Compensation</t>
  </si>
  <si>
    <t>USA Pension</t>
  </si>
  <si>
    <t>ST</t>
  </si>
  <si>
    <t>AK</t>
  </si>
  <si>
    <t>Appeals Pending</t>
  </si>
  <si>
    <t>OT</t>
  </si>
  <si>
    <t>Philippines</t>
  </si>
  <si>
    <t>3</t>
  </si>
  <si>
    <t>35</t>
  </si>
  <si>
    <t>372</t>
  </si>
  <si>
    <t>442</t>
  </si>
  <si>
    <t>BDD</t>
  </si>
  <si>
    <t>RO</t>
  </si>
  <si>
    <t>Total Appeals Pending Under VBA control</t>
  </si>
  <si>
    <t>Other District</t>
  </si>
  <si>
    <t>EP 410 - Initial claims from Veterans' children with Spina bifida and/or birth defects</t>
  </si>
  <si>
    <t>295</t>
  </si>
  <si>
    <t>293</t>
  </si>
  <si>
    <t>409</t>
  </si>
  <si>
    <r>
      <t xml:space="preserve">*The data on this page represents historical, alternative reporting on VBA claims processing.  VBA actively measures and monitors these workloads, but the bundles are not specifically tied to VBA's strategic target 125 Days and 98% Accuracy.  The Rating Bundle measures are the only claims processing bundle that is directly related to the strategic 2015 goals.
</t>
    </r>
    <r>
      <rPr>
        <sz val="14"/>
        <color rgb="FF00B050"/>
        <rFont val="Arial"/>
        <family val="2"/>
      </rPr>
      <t>End products which are included in the Rating Bundle group are highlighted in green.</t>
    </r>
  </si>
  <si>
    <t>Average Days Pending</t>
  </si>
  <si>
    <t>Initial entitlement for service-connected disability (=&gt;8 issues)</t>
  </si>
  <si>
    <t>Pending Development</t>
  </si>
  <si>
    <t>Pending Evidence</t>
  </si>
  <si>
    <t>Pending Decision</t>
  </si>
  <si>
    <t>Pending Award</t>
  </si>
  <si>
    <t>Pending Authorization</t>
  </si>
  <si>
    <t>EP 165 - Accrued</t>
  </si>
  <si>
    <t>EP 167 - Burials</t>
  </si>
  <si>
    <t>EP 160 - Burials</t>
  </si>
  <si>
    <t>Pension Burial/Accrued</t>
  </si>
  <si>
    <t>Compensation Burial/Accrued</t>
  </si>
  <si>
    <t>LOC</t>
  </si>
  <si>
    <t>-1</t>
  </si>
  <si>
    <t>393</t>
  </si>
  <si>
    <t>384</t>
  </si>
  <si>
    <t>394</t>
  </si>
  <si>
    <t>395</t>
  </si>
  <si>
    <t>385</t>
  </si>
  <si>
    <t>499</t>
  </si>
  <si>
    <t>NWQ</t>
  </si>
  <si>
    <t>PI</t>
  </si>
  <si>
    <t>CAT</t>
  </si>
  <si>
    <t>EP</t>
  </si>
  <si>
    <t>INV</t>
  </si>
  <si>
    <t>BL</t>
  </si>
  <si>
    <t>PROD_MTD</t>
  </si>
  <si>
    <t>PROD_FYTD</t>
  </si>
  <si>
    <t>ADCM</t>
  </si>
  <si>
    <t>ADCF</t>
  </si>
  <si>
    <t>DEV</t>
  </si>
  <si>
    <t>EVD</t>
  </si>
  <si>
    <t>DEC</t>
  </si>
  <si>
    <t>AUT</t>
  </si>
  <si>
    <t>130G</t>
  </si>
  <si>
    <t>290G</t>
  </si>
  <si>
    <t>310G</t>
  </si>
  <si>
    <t>600G</t>
  </si>
  <si>
    <t>680G</t>
  </si>
  <si>
    <t>400G</t>
  </si>
  <si>
    <t>500G</t>
  </si>
  <si>
    <t>930G</t>
  </si>
  <si>
    <t>960G</t>
  </si>
  <si>
    <t>160G</t>
  </si>
  <si>
    <t>150G</t>
  </si>
  <si>
    <t>167</t>
  </si>
  <si>
    <t>0</t>
  </si>
  <si>
    <r>
      <t>Entitlement</t>
    </r>
    <r>
      <rPr>
        <sz val="12"/>
        <color indexed="10"/>
        <rFont val="Arial"/>
        <family val="2"/>
      </rPr>
      <t xml:space="preserve"> </t>
    </r>
    <r>
      <rPr>
        <sz val="12"/>
        <rFont val="Arial"/>
        <family val="2"/>
      </rPr>
      <t xml:space="preserve">  </t>
    </r>
  </si>
  <si>
    <r>
      <t>Program Review</t>
    </r>
    <r>
      <rPr>
        <sz val="12"/>
        <color indexed="10"/>
        <rFont val="Arial"/>
        <family val="2"/>
      </rPr>
      <t xml:space="preserve"> </t>
    </r>
  </si>
  <si>
    <t>687</t>
  </si>
  <si>
    <t>682</t>
  </si>
  <si>
    <t>684</t>
  </si>
  <si>
    <t>685</t>
  </si>
  <si>
    <t>Pension</t>
  </si>
  <si>
    <t>Notice of Disagreements</t>
  </si>
  <si>
    <t>Form 9s</t>
  </si>
  <si>
    <t>Remands Returned to the Regional Office</t>
  </si>
  <si>
    <t>Remands Sent to the Appeals Management Center</t>
  </si>
  <si>
    <t>Ready for Travel Board</t>
  </si>
  <si>
    <t>CONTROLLER for Mission Selection</t>
  </si>
  <si>
    <t>ACTIVE SELECTION</t>
  </si>
  <si>
    <t>Compensation</t>
  </si>
  <si>
    <t>Quickstart</t>
  </si>
  <si>
    <t>SPECIAL MISSION SELECTOR</t>
  </si>
  <si>
    <t>ROD</t>
  </si>
  <si>
    <t>ROI</t>
  </si>
  <si>
    <t>STI</t>
  </si>
  <si>
    <t>STD</t>
  </si>
  <si>
    <t>STDS</t>
  </si>
  <si>
    <t>RODS</t>
  </si>
  <si>
    <t>ROO</t>
  </si>
  <si>
    <t>STO</t>
  </si>
  <si>
    <t>DIST_SE</t>
  </si>
  <si>
    <t>DIST_CN</t>
  </si>
  <si>
    <t>DIST_PC</t>
  </si>
  <si>
    <t>DIST_OT</t>
  </si>
  <si>
    <t>DIST_ID</t>
  </si>
  <si>
    <t>DIST_DEF</t>
  </si>
  <si>
    <t>DISTRICT SELECTOR</t>
  </si>
  <si>
    <t>DISTRICT-RO</t>
  </si>
  <si>
    <t>DISTRICT-STATE</t>
  </si>
  <si>
    <t>The State listed is based on the address associated with the claim, not payment address</t>
  </si>
  <si>
    <t>Each Special Mission has distinct claim counts</t>
  </si>
  <si>
    <t>ADP = Average Days Pending</t>
  </si>
  <si>
    <t>ADC = Average Days to Complete</t>
  </si>
  <si>
    <t>MTD = Month to Date</t>
  </si>
  <si>
    <t>FYTD = Fiscal Year to Date</t>
  </si>
  <si>
    <t>Outside US</t>
  </si>
  <si>
    <t>MODIFIED SELECTION</t>
  </si>
  <si>
    <t>Report through</t>
  </si>
  <si>
    <t>%</t>
  </si>
  <si>
    <t>#
Pending</t>
  </si>
  <si>
    <t>#
Pending
&gt; 125 Days</t>
  </si>
  <si>
    <t>%
Pending
&gt; 125 Days</t>
  </si>
  <si>
    <t>#
Completed
MTD</t>
  </si>
  <si>
    <t>#
Completed
FYTD</t>
  </si>
  <si>
    <t>ADC
MTD</t>
  </si>
  <si>
    <t>ADC
FYTD</t>
  </si>
  <si>
    <t>The Station of Origination (SOO) primarily represents pending claims based on geographic boundaries</t>
  </si>
  <si>
    <t>The Station of Jurisdiction (SOJ)  is the regional office assigned to work the claim</t>
  </si>
  <si>
    <t>CLAIM METRICS</t>
  </si>
  <si>
    <t>ACCURACY METRICS</t>
  </si>
  <si>
    <t>Rating
3 Month Issue</t>
  </si>
  <si>
    <t>Rating
3 Month
Claim</t>
  </si>
  <si>
    <t>Rating 12 Month</t>
  </si>
  <si>
    <t>Correct</t>
  </si>
  <si>
    <t>Margin of Error +/-</t>
  </si>
  <si>
    <t>Authorization 12 Month</t>
  </si>
  <si>
    <t>LIFE CYCLE METRICS (as Percent of # Pending)</t>
  </si>
  <si>
    <t>DISTRICT-NWQ</t>
  </si>
  <si>
    <t>AK-1</t>
  </si>
  <si>
    <t>AK463</t>
  </si>
  <si>
    <t>AK499</t>
  </si>
  <si>
    <t>AL-1</t>
  </si>
  <si>
    <t>AL322</t>
  </si>
  <si>
    <t>AL499</t>
  </si>
  <si>
    <t>AR-1</t>
  </si>
  <si>
    <t>AR350</t>
  </si>
  <si>
    <t>AR499</t>
  </si>
  <si>
    <t>AZ-1</t>
  </si>
  <si>
    <t>AZ345</t>
  </si>
  <si>
    <t>AZ499</t>
  </si>
  <si>
    <t>CA-1</t>
  </si>
  <si>
    <t>CA343</t>
  </si>
  <si>
    <t>CA344</t>
  </si>
  <si>
    <t>CA377</t>
  </si>
  <si>
    <t>CA499</t>
  </si>
  <si>
    <t>CO-1</t>
  </si>
  <si>
    <t>CO339</t>
  </si>
  <si>
    <t>CO499</t>
  </si>
  <si>
    <t>CT-1</t>
  </si>
  <si>
    <t>CT308</t>
  </si>
  <si>
    <t>CT499</t>
  </si>
  <si>
    <t>DC-1</t>
  </si>
  <si>
    <t>DC499</t>
  </si>
  <si>
    <t>DE-1</t>
  </si>
  <si>
    <t>DE460</t>
  </si>
  <si>
    <t>DE499</t>
  </si>
  <si>
    <t>FL-1</t>
  </si>
  <si>
    <t>FL317</t>
  </si>
  <si>
    <t>FL499</t>
  </si>
  <si>
    <t>GA-1</t>
  </si>
  <si>
    <t>GA316</t>
  </si>
  <si>
    <t>GA499</t>
  </si>
  <si>
    <t>HI-1</t>
  </si>
  <si>
    <t>HI459</t>
  </si>
  <si>
    <t>HI499</t>
  </si>
  <si>
    <t>IA-1</t>
  </si>
  <si>
    <t>IA333</t>
  </si>
  <si>
    <t>IA499</t>
  </si>
  <si>
    <t>ID-1</t>
  </si>
  <si>
    <t>ID347</t>
  </si>
  <si>
    <t>ID499</t>
  </si>
  <si>
    <t>IL-1</t>
  </si>
  <si>
    <t>IL328</t>
  </si>
  <si>
    <t>IL499</t>
  </si>
  <si>
    <t>IN-1</t>
  </si>
  <si>
    <t>IN326</t>
  </si>
  <si>
    <t>IN499</t>
  </si>
  <si>
    <t>KS-1</t>
  </si>
  <si>
    <t>KS452</t>
  </si>
  <si>
    <t>KS499</t>
  </si>
  <si>
    <t>KY-1</t>
  </si>
  <si>
    <t>KY327</t>
  </si>
  <si>
    <t>KY499</t>
  </si>
  <si>
    <t>LA-1</t>
  </si>
  <si>
    <t>LA321</t>
  </si>
  <si>
    <t>LA499</t>
  </si>
  <si>
    <t>MA-1</t>
  </si>
  <si>
    <t>MA301</t>
  </si>
  <si>
    <t>MA499</t>
  </si>
  <si>
    <t>MD-1</t>
  </si>
  <si>
    <t>MD313</t>
  </si>
  <si>
    <t>MD499</t>
  </si>
  <si>
    <t>ME-1</t>
  </si>
  <si>
    <t>ME402</t>
  </si>
  <si>
    <t>ME499</t>
  </si>
  <si>
    <t>MI-1</t>
  </si>
  <si>
    <t>MI329</t>
  </si>
  <si>
    <t>MI499</t>
  </si>
  <si>
    <t>MN-1</t>
  </si>
  <si>
    <t>MN335</t>
  </si>
  <si>
    <t>MN499</t>
  </si>
  <si>
    <t>MO-1</t>
  </si>
  <si>
    <t>MO331</t>
  </si>
  <si>
    <t>MO499</t>
  </si>
  <si>
    <t>MS-1</t>
  </si>
  <si>
    <t>MS323</t>
  </si>
  <si>
    <t>MS499</t>
  </si>
  <si>
    <t>MT-1</t>
  </si>
  <si>
    <t>MT436</t>
  </si>
  <si>
    <t>MT499</t>
  </si>
  <si>
    <t>NC-1</t>
  </si>
  <si>
    <t>NC318</t>
  </si>
  <si>
    <t>NC499</t>
  </si>
  <si>
    <t>ND-1</t>
  </si>
  <si>
    <t>ND437</t>
  </si>
  <si>
    <t>ND499</t>
  </si>
  <si>
    <t>NE-1</t>
  </si>
  <si>
    <t>NE334</t>
  </si>
  <si>
    <t>NE499</t>
  </si>
  <si>
    <t>NH-1</t>
  </si>
  <si>
    <t>NH373</t>
  </si>
  <si>
    <t>NH499</t>
  </si>
  <si>
    <t>NJ-1</t>
  </si>
  <si>
    <t>NJ309</t>
  </si>
  <si>
    <t>NJ499</t>
  </si>
  <si>
    <t>NM-1</t>
  </si>
  <si>
    <t>NM340</t>
  </si>
  <si>
    <t>NM499</t>
  </si>
  <si>
    <t>NV-1</t>
  </si>
  <si>
    <t>NV354</t>
  </si>
  <si>
    <t>NV499</t>
  </si>
  <si>
    <t>NY-1</t>
  </si>
  <si>
    <t>NY306</t>
  </si>
  <si>
    <t>NY307</t>
  </si>
  <si>
    <t>NY499</t>
  </si>
  <si>
    <t>OH-1</t>
  </si>
  <si>
    <t>OH325</t>
  </si>
  <si>
    <t>OH499</t>
  </si>
  <si>
    <t>OK-1</t>
  </si>
  <si>
    <t>OK351</t>
  </si>
  <si>
    <t>OK499</t>
  </si>
  <si>
    <t>OR-1</t>
  </si>
  <si>
    <t>OR348</t>
  </si>
  <si>
    <t>OR499</t>
  </si>
  <si>
    <t>OT-1</t>
  </si>
  <si>
    <t>OT499</t>
  </si>
  <si>
    <t>PA-1</t>
  </si>
  <si>
    <t>PA310</t>
  </si>
  <si>
    <t>PA311</t>
  </si>
  <si>
    <t>PA499</t>
  </si>
  <si>
    <t>PI499</t>
  </si>
  <si>
    <t>PR-1</t>
  </si>
  <si>
    <t>PR355</t>
  </si>
  <si>
    <t>PR499</t>
  </si>
  <si>
    <t>RI-1</t>
  </si>
  <si>
    <t>RI304</t>
  </si>
  <si>
    <t>RI499</t>
  </si>
  <si>
    <t>SC-1</t>
  </si>
  <si>
    <t>SC319</t>
  </si>
  <si>
    <t>SC499</t>
  </si>
  <si>
    <t>SD-1</t>
  </si>
  <si>
    <t>SD438</t>
  </si>
  <si>
    <t>SD499</t>
  </si>
  <si>
    <t>TN-1</t>
  </si>
  <si>
    <t>TN320</t>
  </si>
  <si>
    <t>TN499</t>
  </si>
  <si>
    <t>TX-1</t>
  </si>
  <si>
    <t>TX349</t>
  </si>
  <si>
    <t>TX362</t>
  </si>
  <si>
    <t>TX499</t>
  </si>
  <si>
    <t>UT-1</t>
  </si>
  <si>
    <t>UT341</t>
  </si>
  <si>
    <t>UT499</t>
  </si>
  <si>
    <t>VA-1</t>
  </si>
  <si>
    <t>VA314</t>
  </si>
  <si>
    <t>VA499</t>
  </si>
  <si>
    <t>VT-1</t>
  </si>
  <si>
    <t>VT405</t>
  </si>
  <si>
    <t>VT499</t>
  </si>
  <si>
    <t>WA-1</t>
  </si>
  <si>
    <t>WA346</t>
  </si>
  <si>
    <t>WA499</t>
  </si>
  <si>
    <t>WI-1</t>
  </si>
  <si>
    <t>WI330</t>
  </si>
  <si>
    <t>WI499</t>
  </si>
  <si>
    <t>WV-1</t>
  </si>
  <si>
    <t>WV315</t>
  </si>
  <si>
    <t>WV499</t>
  </si>
  <si>
    <t>WY-1</t>
  </si>
  <si>
    <t>WY442</t>
  </si>
  <si>
    <t>WY499</t>
  </si>
  <si>
    <t>DC372</t>
  </si>
  <si>
    <t>CT100</t>
  </si>
  <si>
    <t>DE100</t>
  </si>
  <si>
    <t>DC100</t>
  </si>
  <si>
    <t>2000</t>
  </si>
  <si>
    <t>100</t>
  </si>
  <si>
    <t>3000</t>
  </si>
  <si>
    <t>2100</t>
  </si>
  <si>
    <t>2200</t>
  </si>
  <si>
    <t>2300</t>
  </si>
  <si>
    <t>2400</t>
  </si>
  <si>
    <t>2500</t>
  </si>
  <si>
    <t>2600</t>
  </si>
  <si>
    <t>3100</t>
  </si>
  <si>
    <t>3200</t>
  </si>
  <si>
    <t>3300</t>
  </si>
  <si>
    <t>3400</t>
  </si>
  <si>
    <t>3500</t>
  </si>
  <si>
    <t>3600</t>
  </si>
  <si>
    <t>AK100</t>
  </si>
  <si>
    <t>AL100</t>
  </si>
  <si>
    <t>AR100</t>
  </si>
  <si>
    <t>AZ100</t>
  </si>
  <si>
    <t>CA100</t>
  </si>
  <si>
    <t>CO100</t>
  </si>
  <si>
    <t>FL100</t>
  </si>
  <si>
    <t>GA100</t>
  </si>
  <si>
    <t>HI100</t>
  </si>
  <si>
    <t>IA100</t>
  </si>
  <si>
    <t>ID100</t>
  </si>
  <si>
    <t>IL100</t>
  </si>
  <si>
    <t>IN100</t>
  </si>
  <si>
    <t>KS100</t>
  </si>
  <si>
    <t>KY100</t>
  </si>
  <si>
    <t>LA100</t>
  </si>
  <si>
    <t>MA100</t>
  </si>
  <si>
    <t>MD100</t>
  </si>
  <si>
    <t>ME100</t>
  </si>
  <si>
    <t>MI100</t>
  </si>
  <si>
    <t>MN100</t>
  </si>
  <si>
    <t>MO100</t>
  </si>
  <si>
    <t>MS100</t>
  </si>
  <si>
    <t>MT100</t>
  </si>
  <si>
    <t>NC100</t>
  </si>
  <si>
    <t>ND100</t>
  </si>
  <si>
    <t>NE100</t>
  </si>
  <si>
    <t>NH100</t>
  </si>
  <si>
    <t>NJ100</t>
  </si>
  <si>
    <t>NM100</t>
  </si>
  <si>
    <t>NV100</t>
  </si>
  <si>
    <t>NY100</t>
  </si>
  <si>
    <t>OH100</t>
  </si>
  <si>
    <t>OK100</t>
  </si>
  <si>
    <t>OR100</t>
  </si>
  <si>
    <t>OT100</t>
  </si>
  <si>
    <t>PA100</t>
  </si>
  <si>
    <t>PI100</t>
  </si>
  <si>
    <t>PR100</t>
  </si>
  <si>
    <t>RI100</t>
  </si>
  <si>
    <t>SC100</t>
  </si>
  <si>
    <t>SD100</t>
  </si>
  <si>
    <t>TN100</t>
  </si>
  <si>
    <t>TX100</t>
  </si>
  <si>
    <t>UT100</t>
  </si>
  <si>
    <t>VA100</t>
  </si>
  <si>
    <t>VT100</t>
  </si>
  <si>
    <t>WA100</t>
  </si>
  <si>
    <t>WI100</t>
  </si>
  <si>
    <t>WV100</t>
  </si>
  <si>
    <t>WY100</t>
  </si>
  <si>
    <t>TRADITIONAL AGGREGATE CODES</t>
  </si>
  <si>
    <t>ALL</t>
  </si>
  <si>
    <t>Pension Award Adjustment</t>
  </si>
  <si>
    <t>Pension Program Review</t>
  </si>
  <si>
    <t>Pension Burial</t>
  </si>
  <si>
    <t>Pension Accrued</t>
  </si>
  <si>
    <t>Compensation Award Adjustment</t>
  </si>
  <si>
    <t>Compensation Program Review</t>
  </si>
  <si>
    <t>Compensation Burial</t>
  </si>
  <si>
    <t>Compensation Accrued</t>
  </si>
  <si>
    <t>Non-Rating/Appeals Compensation</t>
  </si>
  <si>
    <t>Non-Rating/Appeals Pension</t>
  </si>
  <si>
    <t>Providence RO</t>
  </si>
  <si>
    <t>Wilmington RO</t>
  </si>
  <si>
    <t>Washington DC RO</t>
  </si>
  <si>
    <t>Manchester RO</t>
  </si>
  <si>
    <t>Togus RO</t>
  </si>
  <si>
    <t>-Total</t>
  </si>
  <si>
    <t>-NWQ</t>
  </si>
  <si>
    <t>Baltimore RO</t>
  </si>
  <si>
    <t>Boston RO</t>
  </si>
  <si>
    <t>Newark RO</t>
  </si>
  <si>
    <t>New York RO</t>
  </si>
  <si>
    <t>Winston-Salem RO</t>
  </si>
  <si>
    <t>Philadelphia RO</t>
  </si>
  <si>
    <t>White River RO</t>
  </si>
  <si>
    <t>Roanoke RO</t>
  </si>
  <si>
    <t>Huntington RO</t>
  </si>
  <si>
    <t>Hartford RO</t>
  </si>
  <si>
    <t>Buffalo RO</t>
  </si>
  <si>
    <t>Pittsburgh RO</t>
  </si>
  <si>
    <t>Montgomery RO</t>
  </si>
  <si>
    <t>St. Petersburg RO</t>
  </si>
  <si>
    <t>Atlanta RO</t>
  </si>
  <si>
    <t>Louisville RO</t>
  </si>
  <si>
    <t>San Juan RO</t>
  </si>
  <si>
    <t>Columbia RO</t>
  </si>
  <si>
    <t>Nashville RO</t>
  </si>
  <si>
    <t>Milwaukee RO</t>
  </si>
  <si>
    <t>Sioux Falls RO</t>
  </si>
  <si>
    <t>Cleveland RO</t>
  </si>
  <si>
    <t>Fargo RO</t>
  </si>
  <si>
    <t>Lincoln RO</t>
  </si>
  <si>
    <t>St. Louis RO</t>
  </si>
  <si>
    <t>St. Paul RO</t>
  </si>
  <si>
    <t>Detroit RO</t>
  </si>
  <si>
    <t>Wichita RO</t>
  </si>
  <si>
    <t>Des Moines RO</t>
  </si>
  <si>
    <t>Indianapolis RO</t>
  </si>
  <si>
    <t>Chicago RO</t>
  </si>
  <si>
    <t>Cheyenne RO</t>
  </si>
  <si>
    <t>Denver RO</t>
  </si>
  <si>
    <t>Little Rock RO</t>
  </si>
  <si>
    <t>New Orleans RO</t>
  </si>
  <si>
    <t>Jackson RO</t>
  </si>
  <si>
    <t>Fort Harrison RO</t>
  </si>
  <si>
    <t>Muskogee RO</t>
  </si>
  <si>
    <t>Salt Lake City RO</t>
  </si>
  <si>
    <t>Houston RO</t>
  </si>
  <si>
    <t>Waco RO</t>
  </si>
  <si>
    <t>PI-1</t>
  </si>
  <si>
    <t>Anchorage RO</t>
  </si>
  <si>
    <t>Phoenix RO</t>
  </si>
  <si>
    <t>Los Angeles RO</t>
  </si>
  <si>
    <t>Oakland RO</t>
  </si>
  <si>
    <t>San Diego RO</t>
  </si>
  <si>
    <t>Honolulu RO</t>
  </si>
  <si>
    <t>Boise RO</t>
  </si>
  <si>
    <t>Reno RO</t>
  </si>
  <si>
    <t>Albuquerque RO</t>
  </si>
  <si>
    <t>Portland RO</t>
  </si>
  <si>
    <t>Manila RO</t>
  </si>
  <si>
    <t>Seattle RO</t>
  </si>
  <si>
    <t>PI358</t>
  </si>
  <si>
    <t>% Pending &gt; 125 days</t>
  </si>
  <si>
    <t>% Change</t>
  </si>
  <si>
    <t># Change</t>
  </si>
  <si>
    <t>010 Series</t>
  </si>
  <si>
    <t>110 Series</t>
  </si>
  <si>
    <t>020 Series</t>
  </si>
  <si>
    <t>140 Series</t>
  </si>
  <si>
    <t>180 Series</t>
  </si>
  <si>
    <t>120 Series</t>
  </si>
  <si>
    <t>310 Group</t>
  </si>
  <si>
    <t>320 Series</t>
  </si>
  <si>
    <t>METRIC</t>
  </si>
  <si>
    <t>DEFINITION</t>
  </si>
  <si>
    <t>Future examination for disabilities (excludes EP 314)</t>
  </si>
  <si>
    <t>Initial entitlement for service-connected disability (&lt;=7 issues)</t>
  </si>
  <si>
    <t>COMMENT</t>
  </si>
  <si>
    <t>Compensation and Pension Rating Bundle Metrics</t>
  </si>
  <si>
    <t>Compensation and Pension Rating Bundle</t>
  </si>
  <si>
    <t>Station of Jurisdiction View</t>
  </si>
  <si>
    <t>National View</t>
  </si>
  <si>
    <t>NWQ-Station of Jurisdiction View</t>
  </si>
  <si>
    <t>Station of Origin View</t>
  </si>
  <si>
    <t>State View</t>
  </si>
  <si>
    <r>
      <t>Original Entitlement - Veterans</t>
    </r>
    <r>
      <rPr>
        <vertAlign val="superscript"/>
        <sz val="14"/>
        <rFont val="Arial"/>
        <family val="2"/>
      </rPr>
      <t>1</t>
    </r>
  </si>
  <si>
    <r>
      <t>Original Entitlement - Survivors</t>
    </r>
    <r>
      <rPr>
        <vertAlign val="superscript"/>
        <sz val="14"/>
        <rFont val="Arial"/>
        <family val="2"/>
      </rPr>
      <t>2</t>
    </r>
  </si>
  <si>
    <t>Education Metrics</t>
  </si>
  <si>
    <t># Pending &gt; 125</t>
  </si>
  <si>
    <t>386</t>
  </si>
  <si>
    <t xml:space="preserve">*Chapter 33 is the Post-9/11GI Bill. </t>
  </si>
  <si>
    <t>**Represents all Education Benefit Programs, including  Chapter 33 claims.</t>
  </si>
  <si>
    <t>Total Education Claims - All Education Programs **</t>
  </si>
  <si>
    <t>Total Chapter 33 Original Claims *</t>
  </si>
  <si>
    <t>NWQ State View</t>
  </si>
  <si>
    <t>ADC</t>
  </si>
  <si>
    <t>Average Days to Complete or total number of days to complete divided by total number of claims completed</t>
  </si>
  <si>
    <t>Average Days Pending, or total number of days pending divided by total number of claims pending</t>
  </si>
  <si>
    <t>MTD</t>
  </si>
  <si>
    <t>FYTD</t>
  </si>
  <si>
    <t>Month to Date. Captures claim activity from the first day of the reporting month through the report date</t>
  </si>
  <si>
    <t>Fiscal Year to Date. Captures claim activity from the first day of the current fiscal year through the report date</t>
  </si>
  <si>
    <t>SOJ</t>
  </si>
  <si>
    <t>Station of Jurisdiction, or the Regional Office assigned to work the claim</t>
  </si>
  <si>
    <t>SOO</t>
  </si>
  <si>
    <t>Station of Origin, or the Regional Office with geographic oversight of the claim</t>
  </si>
  <si>
    <t>Accuracy measurement is available on the Rating Bundle SOJ tab</t>
  </si>
  <si>
    <t>Accuracy is available in Compensation and Pension Special Missions</t>
  </si>
  <si>
    <t>Scroll down to see Pension</t>
  </si>
  <si>
    <t>Life Cycle Metrics defined on Legend tab</t>
  </si>
  <si>
    <t>Claims that are awaiting development initiation, which may involve gathering supporting evidence, medical exams, and military documentation.</t>
  </si>
  <si>
    <t>Claims that are in the process of gathering supporting evidence and possibly medical exams.</t>
  </si>
  <si>
    <t>Claims that are awaiting an evidence review and decision by a rating specialist</t>
  </si>
  <si>
    <t>Claims that are awaiting a first-level review of the evidence gathered and the decision.</t>
  </si>
  <si>
    <t>Claims that are awaiting a final review of all aspects of the claim, which results in a notification to the claimant on the outcome of their claim.</t>
  </si>
  <si>
    <t>USA - All Missions</t>
  </si>
  <si>
    <t>10</t>
  </si>
  <si>
    <t>-Other RO</t>
  </si>
  <si>
    <t>Initial entitlement for service-connected disability (&gt;=8 issues)</t>
  </si>
  <si>
    <t>CONTROLLER for SOJ District Selection</t>
  </si>
  <si>
    <t>When Special Mission is set to Pension, BDD, or Quickstart, the District Selector has no impact.</t>
  </si>
  <si>
    <t>Accuracy metrics are available on Rating Bundle - SOJ tab</t>
  </si>
  <si>
    <t>When Special Mission is set to Pension, BDD, or Quickstart, the District Selector has no impact</t>
  </si>
  <si>
    <t>When Special Mission is set to Pension, BDD, or Quickstart, the District Selector has</t>
  </si>
  <si>
    <t>no impact</t>
  </si>
  <si>
    <t>Number of IDES claims pending</t>
  </si>
  <si>
    <t>Integrated Disability Evaluation System (IDES)</t>
  </si>
  <si>
    <t>101</t>
  </si>
  <si>
    <t>ST_DATE</t>
  </si>
  <si>
    <t>397</t>
  </si>
  <si>
    <t>387</t>
  </si>
  <si>
    <t>*The claims pending under 'Non-Rating' are a subset of claims listed under the 'Award Adjustment' column and should not be counted twice when computing totals</t>
  </si>
  <si>
    <t>383</t>
  </si>
  <si>
    <t>388</t>
  </si>
  <si>
    <t>RAMP (Rapid Appeals Modernization Program)</t>
  </si>
  <si>
    <t>EP 682 - Higher Level Review</t>
  </si>
  <si>
    <t>EP 683 - Supplemental Evidence</t>
  </si>
  <si>
    <t>Statement of the Case</t>
  </si>
  <si>
    <t>Total RAMP</t>
  </si>
  <si>
    <t>Comp</t>
  </si>
  <si>
    <t>Line</t>
  </si>
  <si>
    <t>60*</t>
  </si>
  <si>
    <t>*the veteran has 60 days to respond to an SOC to continue onto the Form 9 stage</t>
  </si>
  <si>
    <t>376</t>
  </si>
  <si>
    <t>Northeast District</t>
  </si>
  <si>
    <t>St. Louis RMC</t>
  </si>
  <si>
    <t xml:space="preserve">Cheyenne </t>
  </si>
  <si>
    <t xml:space="preserve">Fort Harrison </t>
  </si>
  <si>
    <t>DIST_NE</t>
  </si>
  <si>
    <t>Northeast</t>
  </si>
  <si>
    <t>EP 681 - Used to control claims under the Nehmer Agent Orange stipulation</t>
  </si>
  <si>
    <t>EP 405 - Reopened or new Agent Orange claims between 9/01/10 and 10/24/2011</t>
  </si>
  <si>
    <t>EP 687 - Previously used for Nehmer Agent Orange presumptive issues</t>
  </si>
  <si>
    <t>Used to control claims under the Nehmer Agent Orange stipulation</t>
  </si>
  <si>
    <t>Previously used for Nehmer Agent Orange presumptive issues</t>
  </si>
  <si>
    <t>Reopened or new Agent Orange claims between 9/01/10 and 10/24/2011</t>
  </si>
  <si>
    <t>Agent Orange claims where an interim decision was provided; No longer used as of 10/24/2011</t>
  </si>
  <si>
    <t>EP 409 - Agent Orange claims where an interim decision was provided; No longer used as of 10/24/2011</t>
  </si>
  <si>
    <r>
      <rPr>
        <b/>
        <sz val="10"/>
        <rFont val="Arial"/>
        <family val="2"/>
      </rPr>
      <t>Rating Bundle:</t>
    </r>
    <r>
      <rPr>
        <sz val="10"/>
        <rFont val="Arial"/>
        <family val="2"/>
      </rPr>
      <t xml:space="preserve"> Claims for disability compensation, dependency and indemnity compensation, and Veterans’ pension benefits, including both original and supplemental claims. Rating Bundle claims normally require a rating decision during processing.  The Rating Bundle Group is made up of 7 series and 1 group of End Products, plus 4 Agent Orange End Products, which are used to define VA Priority goals for Accuracy and reduction of claims over 125 days old</t>
    </r>
  </si>
  <si>
    <r>
      <rPr>
        <b/>
        <sz val="10"/>
        <rFont val="Arial"/>
        <family val="2"/>
      </rPr>
      <t>Not-Rating:</t>
    </r>
    <r>
      <rPr>
        <sz val="10"/>
        <rFont val="Arial"/>
      </rPr>
      <t xml:space="preserve"> Claims for disability compensation, dependency and indemnity compensation, and Veterans’ pension benefits, which can but normally do not require a rating decision (i.e. claim to add dependent to award).</t>
    </r>
  </si>
  <si>
    <t>13-MAR-19</t>
  </si>
  <si>
    <t>15-MAR-19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</si>
</sst>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0.00_);_(&quot;$&quot;* \(#,##0.00\);_(&quot;$&quot;* &quot;-&quot;??_);_(@_)"/>
    <numFmt numFmtId="43" formatCode="_(* #,##0.00_);_(* \(#,##0.00\);_(* &quot;-&quot;??_);_(@_)"/>
    <numFmt numFmtId="164" formatCode="#,##0.0"/>
    <numFmt numFmtId="165" formatCode="_(* #,##0_);_(* \(#,##0\);_(* &quot;-&quot;??_);_(@_)"/>
    <numFmt numFmtId="166" formatCode="0.0%"/>
    <numFmt numFmtId="167" formatCode="_(* #,##0.0_);_(* \(#,##0.0\);_(* &quot;-&quot;??_);_(@_)"/>
    <numFmt numFmtId="168" formatCode="#,##0.0_);\(#,##0.0\)"/>
    <numFmt numFmtId="169" formatCode="mm/dd/yy;@"/>
    <numFmt numFmtId="170" formatCode="[$-F800]dddd\,\ mmmm\ dd\,\ yyyy"/>
  </numFmts>
  <fonts count="6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b/>
      <sz val="10"/>
      <color indexed="8"/>
      <name val="Arial"/>
      <family val="2"/>
    </font>
    <font>
      <sz val="10"/>
      <name val="Arial"/>
      <family val="2"/>
    </font>
    <font>
      <b/>
      <sz val="10"/>
      <name val="Arial"/>
      <family val="2"/>
    </font>
    <font>
      <b/>
      <sz val="9"/>
      <name val="Arial"/>
      <family val="2"/>
    </font>
    <font>
      <sz val="8"/>
      <name val="Arial"/>
      <family val="2"/>
    </font>
    <font>
      <sz val="9"/>
      <name val="Arial"/>
      <family val="2"/>
    </font>
    <font>
      <sz val="12"/>
      <name val="Arial"/>
      <family val="2"/>
    </font>
    <font>
      <b/>
      <sz val="12"/>
      <name val="Arial"/>
      <family val="2"/>
    </font>
    <font>
      <u/>
      <sz val="10"/>
      <color indexed="12"/>
      <name val="Arial"/>
      <family val="2"/>
    </font>
    <font>
      <sz val="11"/>
      <name val="Arial"/>
      <family val="2"/>
    </font>
    <font>
      <sz val="10"/>
      <name val="Arial"/>
      <family val="2"/>
    </font>
    <font>
      <sz val="10"/>
      <name val="Arial"/>
      <family val="2"/>
    </font>
    <font>
      <sz val="10"/>
      <name val="Arial"/>
      <family val="2"/>
    </font>
    <font>
      <b/>
      <u/>
      <sz val="14"/>
      <name val="Arial"/>
      <family val="2"/>
    </font>
    <font>
      <sz val="10"/>
      <name val="Arial"/>
      <family val="2"/>
    </font>
    <font>
      <sz val="14"/>
      <name val="Arial"/>
      <family val="2"/>
    </font>
    <font>
      <sz val="9"/>
      <color indexed="81"/>
      <name val="Tahoma"/>
      <family val="2"/>
    </font>
    <font>
      <b/>
      <sz val="9"/>
      <color indexed="81"/>
      <name val="Tahoma"/>
      <family val="2"/>
    </font>
    <font>
      <b/>
      <sz val="12"/>
      <color indexed="81"/>
      <name val="Tahoma"/>
      <family val="2"/>
    </font>
    <font>
      <sz val="12"/>
      <color indexed="81"/>
      <name val="Tahoma"/>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0"/>
      <name val="Arial"/>
      <family val="2"/>
    </font>
    <font>
      <sz val="10"/>
      <color theme="1"/>
      <name val="Arial"/>
      <family val="2"/>
    </font>
    <font>
      <b/>
      <sz val="14"/>
      <color indexed="81"/>
      <name val="Tahoma"/>
      <family val="2"/>
    </font>
    <font>
      <b/>
      <sz val="8"/>
      <color indexed="81"/>
      <name val="Tahoma"/>
      <family val="2"/>
    </font>
    <font>
      <b/>
      <u/>
      <sz val="16"/>
      <name val="Arial"/>
      <family val="2"/>
    </font>
    <font>
      <u/>
      <sz val="8"/>
      <color rgb="FF0000FF"/>
      <name val="Calibri"/>
      <family val="2"/>
      <scheme val="minor"/>
    </font>
    <font>
      <u/>
      <sz val="8"/>
      <color rgb="FF800080"/>
      <name val="Calibri"/>
      <family val="2"/>
      <scheme val="minor"/>
    </font>
    <font>
      <sz val="14"/>
      <color rgb="FF00B050"/>
      <name val="Arial"/>
      <family val="2"/>
    </font>
    <font>
      <sz val="14"/>
      <color theme="6" tint="-0.499984740745262"/>
      <name val="Arial"/>
      <family val="2"/>
    </font>
    <font>
      <sz val="16"/>
      <name val="Arial"/>
      <family val="2"/>
    </font>
    <font>
      <sz val="12"/>
      <color indexed="10"/>
      <name val="Arial"/>
      <family val="2"/>
    </font>
    <font>
      <sz val="10"/>
      <color theme="0"/>
      <name val="Symbol"/>
      <family val="1"/>
      <charset val="2"/>
    </font>
    <font>
      <sz val="8"/>
      <color rgb="FF000000"/>
      <name val="Tahoma"/>
      <family val="2"/>
    </font>
    <font>
      <sz val="12"/>
      <color theme="0"/>
      <name val="Arial"/>
      <family val="2"/>
    </font>
    <font>
      <sz val="20"/>
      <name val="Arial"/>
      <family val="2"/>
    </font>
    <font>
      <vertAlign val="superscript"/>
      <sz val="14"/>
      <name val="Arial"/>
      <family val="2"/>
    </font>
    <font>
      <sz val="13"/>
      <name val="Arial"/>
      <family val="2"/>
    </font>
    <font>
      <sz val="10"/>
      <color indexed="63"/>
      <name val="Arial"/>
      <family val="2"/>
    </font>
  </fonts>
  <fills count="47">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0" tint="-0.14999847407452621"/>
        <bgColor auto="1"/>
      </patternFill>
    </fill>
    <fill>
      <patternFill patternType="solid">
        <fgColor theme="0" tint="-0.14999847407452621"/>
        <bgColor indexed="64"/>
      </patternFill>
    </fill>
    <fill>
      <patternFill patternType="solid">
        <fgColor theme="6" tint="0.59999389629810485"/>
        <bgColor indexed="64"/>
      </patternFill>
    </fill>
    <fill>
      <patternFill patternType="solid">
        <fgColor theme="0" tint="-4.9989318521683403E-2"/>
        <bgColor auto="1"/>
      </patternFill>
    </fill>
    <fill>
      <patternFill patternType="solid">
        <fgColor theme="6" tint="0.59999389629810485"/>
        <bgColor auto="1"/>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9" tint="0.39997558519241921"/>
        <bgColor indexed="64"/>
      </patternFill>
    </fill>
    <fill>
      <patternFill patternType="solid">
        <fgColor theme="7" tint="0.79998168889431442"/>
        <bgColor indexed="64"/>
      </patternFill>
    </fill>
    <fill>
      <patternFill patternType="solid">
        <fgColor theme="6" tint="0.79998168889431442"/>
        <bgColor indexed="64"/>
      </patternFill>
    </fill>
    <fill>
      <patternFill patternType="darkUp">
        <bgColor theme="1" tint="0.14999847407452621"/>
      </patternFill>
    </fill>
  </fills>
  <borders count="77">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bottom/>
      <diagonal/>
    </border>
    <border>
      <left style="dashed">
        <color indexed="64"/>
      </left>
      <right style="dashed">
        <color indexed="64"/>
      </right>
      <top/>
      <bottom/>
      <diagonal/>
    </border>
    <border>
      <left style="dashed">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thin">
        <color theme="3" tint="0.39994506668294322"/>
      </bottom>
      <diagonal/>
    </border>
    <border>
      <left style="thin">
        <color indexed="64"/>
      </left>
      <right/>
      <top style="thin">
        <color indexed="64"/>
      </top>
      <bottom style="thin">
        <color theme="3" tint="0.39994506668294322"/>
      </bottom>
      <diagonal/>
    </border>
    <border>
      <left style="thin">
        <color indexed="64"/>
      </left>
      <right style="dotted">
        <color indexed="64"/>
      </right>
      <top style="thin">
        <color indexed="64"/>
      </top>
      <bottom style="thin">
        <color theme="3" tint="0.39994506668294322"/>
      </bottom>
      <diagonal/>
    </border>
    <border>
      <left style="dotted">
        <color indexed="64"/>
      </left>
      <right style="thin">
        <color indexed="64"/>
      </right>
      <top style="thin">
        <color indexed="64"/>
      </top>
      <bottom style="thin">
        <color theme="3" tint="0.39994506668294322"/>
      </bottom>
      <diagonal/>
    </border>
    <border>
      <left style="dashed">
        <color indexed="64"/>
      </left>
      <right style="thin">
        <color indexed="64"/>
      </right>
      <top style="thin">
        <color indexed="64"/>
      </top>
      <bottom style="thin">
        <color theme="3" tint="0.39994506668294322"/>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s>
  <cellStyleXfs count="139">
    <xf numFmtId="0" fontId="0" fillId="0" borderId="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8" fillId="27" borderId="0" applyNumberFormat="0" applyBorder="0" applyAlignment="0" applyProtection="0"/>
    <xf numFmtId="0" fontId="29" fillId="28" borderId="33" applyNumberFormat="0" applyAlignment="0" applyProtection="0"/>
    <xf numFmtId="0" fontId="30" fillId="29" borderId="34" applyNumberFormat="0" applyAlignment="0" applyProtection="0"/>
    <xf numFmtId="43" fontId="4" fillId="0" borderId="0" applyFont="0" applyFill="0" applyBorder="0" applyAlignment="0" applyProtection="0"/>
    <xf numFmtId="43" fontId="16" fillId="0" borderId="0" applyFont="0" applyFill="0" applyBorder="0" applyAlignment="0" applyProtection="0"/>
    <xf numFmtId="43" fontId="7" fillId="0" borderId="0" applyFont="0" applyFill="0" applyBorder="0" applyAlignment="0" applyProtection="0"/>
    <xf numFmtId="0" fontId="7" fillId="0" borderId="0"/>
    <xf numFmtId="43" fontId="1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18" fillId="0" borderId="0" applyFont="0" applyFill="0" applyBorder="0" applyAlignment="0" applyProtection="0"/>
    <xf numFmtId="43" fontId="20" fillId="0" borderId="0" applyFont="0" applyFill="0" applyBorder="0" applyAlignment="0" applyProtection="0"/>
    <xf numFmtId="43" fontId="26" fillId="0" borderId="0" applyFont="0" applyFill="0" applyBorder="0" applyAlignment="0" applyProtection="0"/>
    <xf numFmtId="44" fontId="16" fillId="0" borderId="0" applyFont="0" applyFill="0" applyBorder="0" applyAlignment="0" applyProtection="0"/>
    <xf numFmtId="44" fontId="7" fillId="0" borderId="0" applyFont="0" applyFill="0" applyBorder="0" applyAlignment="0" applyProtection="0"/>
    <xf numFmtId="44" fontId="17" fillId="0" borderId="0" applyFont="0" applyFill="0" applyBorder="0" applyAlignment="0" applyProtection="0"/>
    <xf numFmtId="44" fontId="7" fillId="0" borderId="0" applyFon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0" fontId="33" fillId="0" borderId="35" applyNumberFormat="0" applyFill="0" applyAlignment="0" applyProtection="0"/>
    <xf numFmtId="0" fontId="34" fillId="0" borderId="36" applyNumberFormat="0" applyFill="0" applyAlignment="0" applyProtection="0"/>
    <xf numFmtId="0" fontId="35" fillId="0" borderId="37" applyNumberFormat="0" applyFill="0" applyAlignment="0" applyProtection="0"/>
    <xf numFmtId="0" fontId="35" fillId="0" borderId="0" applyNumberFormat="0" applyFill="0" applyBorder="0" applyAlignment="0" applyProtection="0"/>
    <xf numFmtId="0" fontId="14" fillId="0" borderId="0" applyNumberFormat="0" applyFill="0" applyBorder="0" applyAlignment="0" applyProtection="0">
      <alignment vertical="top"/>
      <protection locked="0"/>
    </xf>
    <xf numFmtId="0" fontId="36" fillId="31" borderId="33" applyNumberFormat="0" applyAlignment="0" applyProtection="0"/>
    <xf numFmtId="0" fontId="37" fillId="0" borderId="38" applyNumberFormat="0" applyFill="0" applyAlignment="0" applyProtection="0"/>
    <xf numFmtId="0" fontId="38" fillId="32" borderId="0" applyNumberFormat="0" applyBorder="0" applyAlignment="0" applyProtection="0"/>
    <xf numFmtId="0" fontId="7" fillId="0" borderId="0"/>
    <xf numFmtId="0" fontId="26" fillId="0" borderId="0"/>
    <xf numFmtId="0" fontId="26" fillId="0" borderId="0"/>
    <xf numFmtId="0" fontId="26" fillId="33" borderId="39" applyNumberFormat="0" applyFont="0" applyAlignment="0" applyProtection="0"/>
    <xf numFmtId="0" fontId="39" fillId="28" borderId="40" applyNumberFormat="0" applyAlignment="0" applyProtection="0"/>
    <xf numFmtId="9" fontId="4" fillId="0" borderId="0" applyFont="0" applyFill="0" applyBorder="0" applyAlignment="0" applyProtection="0"/>
    <xf numFmtId="9" fontId="16" fillId="0" borderId="0" applyFont="0" applyFill="0" applyBorder="0" applyAlignment="0" applyProtection="0"/>
    <xf numFmtId="9" fontId="7" fillId="0" borderId="0" applyFont="0" applyFill="0" applyBorder="0" applyAlignment="0" applyProtection="0"/>
    <xf numFmtId="9" fontId="1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8" fillId="0" borderId="0" applyFont="0" applyFill="0" applyBorder="0" applyAlignment="0" applyProtection="0"/>
    <xf numFmtId="9" fontId="20" fillId="0" borderId="0" applyFont="0" applyFill="0" applyBorder="0" applyAlignment="0" applyProtection="0"/>
    <xf numFmtId="0" fontId="40" fillId="0" borderId="0" applyNumberFormat="0" applyFill="0" applyBorder="0" applyAlignment="0" applyProtection="0"/>
    <xf numFmtId="0" fontId="41" fillId="0" borderId="41" applyNumberFormat="0" applyFill="0" applyAlignment="0" applyProtection="0"/>
    <xf numFmtId="0" fontId="42" fillId="0" borderId="0" applyNumberFormat="0" applyFill="0" applyBorder="0" applyAlignment="0" applyProtection="0"/>
    <xf numFmtId="0" fontId="4"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3" fillId="0" borderId="0"/>
    <xf numFmtId="0" fontId="3" fillId="0" borderId="0"/>
    <xf numFmtId="0" fontId="3" fillId="33" borderId="39"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3" borderId="39" applyNumberFormat="0" applyFont="0" applyAlignment="0" applyProtection="0"/>
    <xf numFmtId="0" fontId="1" fillId="0" borderId="0"/>
    <xf numFmtId="0" fontId="1" fillId="33" borderId="39"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cellStyleXfs>
  <cellXfs count="385">
    <xf numFmtId="0" fontId="0" fillId="0" borderId="0" xfId="0"/>
    <xf numFmtId="0" fontId="7" fillId="0" borderId="0" xfId="0" applyFont="1" applyBorder="1"/>
    <xf numFmtId="0" fontId="7" fillId="34" borderId="0" xfId="0" applyFont="1" applyFill="1" applyBorder="1"/>
    <xf numFmtId="0" fontId="0" fillId="0" borderId="0" xfId="0" applyProtection="1"/>
    <xf numFmtId="0" fontId="7" fillId="34" borderId="0" xfId="0" applyFont="1" applyFill="1" applyBorder="1" applyProtection="1">
      <protection hidden="1"/>
    </xf>
    <xf numFmtId="4" fontId="7" fillId="34" borderId="0" xfId="0" applyNumberFormat="1" applyFont="1" applyFill="1" applyBorder="1" applyProtection="1">
      <protection hidden="1"/>
    </xf>
    <xf numFmtId="0" fontId="0" fillId="34" borderId="0" xfId="0" applyFill="1" applyProtection="1">
      <protection hidden="1"/>
    </xf>
    <xf numFmtId="0" fontId="4" fillId="34" borderId="0" xfId="0" applyFont="1" applyFill="1" applyBorder="1" applyProtection="1">
      <protection hidden="1"/>
    </xf>
    <xf numFmtId="4" fontId="4" fillId="34" borderId="0" xfId="0" applyNumberFormat="1" applyFont="1" applyFill="1" applyBorder="1" applyProtection="1">
      <protection hidden="1"/>
    </xf>
    <xf numFmtId="0" fontId="43" fillId="34" borderId="0" xfId="0" applyFont="1" applyFill="1" applyProtection="1">
      <protection hidden="1"/>
    </xf>
    <xf numFmtId="4" fontId="7" fillId="34" borderId="0" xfId="0" applyNumberFormat="1" applyFont="1" applyFill="1" applyBorder="1" applyAlignment="1" applyProtection="1">
      <alignment vertical="center" wrapText="1"/>
      <protection hidden="1"/>
    </xf>
    <xf numFmtId="0" fontId="4" fillId="34" borderId="8" xfId="0" applyFont="1" applyFill="1" applyBorder="1" applyAlignment="1" applyProtection="1">
      <protection hidden="1"/>
    </xf>
    <xf numFmtId="3" fontId="43" fillId="34" borderId="0" xfId="0" applyNumberFormat="1" applyFont="1" applyFill="1" applyBorder="1" applyProtection="1">
      <protection hidden="1"/>
    </xf>
    <xf numFmtId="3" fontId="43" fillId="34" borderId="0" xfId="0" applyNumberFormat="1" applyFont="1" applyFill="1" applyBorder="1" applyAlignment="1" applyProtection="1">
      <alignment horizontal="center"/>
      <protection hidden="1"/>
    </xf>
    <xf numFmtId="0" fontId="43" fillId="34" borderId="0" xfId="0" applyFont="1" applyFill="1" applyBorder="1" applyAlignment="1" applyProtection="1">
      <alignment vertical="center" wrapText="1"/>
      <protection hidden="1"/>
    </xf>
    <xf numFmtId="0" fontId="7" fillId="0" borderId="42" xfId="0" applyFont="1" applyFill="1" applyBorder="1" applyAlignment="1" applyProtection="1">
      <alignment horizontal="center" vertical="center" wrapText="1"/>
      <protection hidden="1"/>
    </xf>
    <xf numFmtId="4" fontId="7" fillId="0" borderId="43" xfId="0" applyNumberFormat="1" applyFont="1" applyFill="1" applyBorder="1" applyAlignment="1" applyProtection="1">
      <alignment horizontal="center" vertical="center" wrapText="1"/>
      <protection hidden="1"/>
    </xf>
    <xf numFmtId="0" fontId="7" fillId="0" borderId="49" xfId="0" applyFont="1" applyFill="1" applyBorder="1" applyAlignment="1" applyProtection="1">
      <alignment horizontal="center" vertical="center" wrapText="1"/>
      <protection hidden="1"/>
    </xf>
    <xf numFmtId="0" fontId="7" fillId="0" borderId="50" xfId="0" applyFont="1" applyBorder="1" applyAlignment="1" applyProtection="1">
      <alignment horizontal="center" vertical="center" wrapText="1"/>
      <protection hidden="1"/>
    </xf>
    <xf numFmtId="0" fontId="7" fillId="0" borderId="51" xfId="0" applyFont="1" applyBorder="1" applyAlignment="1" applyProtection="1">
      <alignment horizontal="center" vertical="center" wrapText="1"/>
      <protection hidden="1"/>
    </xf>
    <xf numFmtId="0" fontId="7" fillId="0" borderId="7" xfId="0" applyFont="1" applyFill="1" applyBorder="1" applyAlignment="1" applyProtection="1">
      <alignment horizontal="center" vertical="center" wrapText="1"/>
      <protection hidden="1"/>
    </xf>
    <xf numFmtId="0" fontId="7" fillId="0" borderId="32" xfId="0" applyFont="1" applyFill="1" applyBorder="1" applyAlignment="1" applyProtection="1">
      <alignment horizontal="center" vertical="center" wrapText="1"/>
      <protection hidden="1"/>
    </xf>
    <xf numFmtId="0" fontId="7" fillId="34" borderId="0" xfId="0" applyFont="1" applyFill="1" applyBorder="1" applyAlignment="1" applyProtection="1">
      <alignment vertical="center" wrapText="1"/>
      <protection hidden="1"/>
    </xf>
    <xf numFmtId="0" fontId="43" fillId="34" borderId="0" xfId="0" applyFont="1" applyFill="1" applyBorder="1" applyProtection="1">
      <protection hidden="1"/>
    </xf>
    <xf numFmtId="49" fontId="43" fillId="34" borderId="0" xfId="0" applyNumberFormat="1" applyFont="1" applyFill="1" applyBorder="1" applyProtection="1">
      <protection hidden="1"/>
    </xf>
    <xf numFmtId="0" fontId="12" fillId="2" borderId="0" xfId="0" applyFont="1" applyFill="1" applyBorder="1" applyAlignment="1" applyProtection="1">
      <alignment vertical="center" wrapText="1"/>
      <protection hidden="1"/>
    </xf>
    <xf numFmtId="0" fontId="12" fillId="2" borderId="0" xfId="0" applyFont="1" applyFill="1" applyBorder="1" applyAlignment="1" applyProtection="1">
      <alignment horizontal="left" vertical="center" wrapText="1"/>
      <protection hidden="1"/>
    </xf>
    <xf numFmtId="0" fontId="9" fillId="2" borderId="0" xfId="0" applyFont="1" applyFill="1" applyBorder="1" applyAlignment="1" applyProtection="1">
      <alignment horizontal="center" vertical="center" wrapText="1"/>
      <protection hidden="1"/>
    </xf>
    <xf numFmtId="0" fontId="11" fillId="2" borderId="0" xfId="0" applyFont="1" applyFill="1" applyBorder="1" applyAlignment="1" applyProtection="1">
      <alignment horizontal="right" vertical="center" wrapText="1"/>
      <protection hidden="1"/>
    </xf>
    <xf numFmtId="0" fontId="10" fillId="2" borderId="0" xfId="0" applyFont="1" applyFill="1" applyBorder="1" applyAlignment="1" applyProtection="1">
      <alignment vertical="center" wrapText="1"/>
      <protection hidden="1"/>
    </xf>
    <xf numFmtId="0" fontId="14" fillId="34" borderId="0" xfId="49" applyFill="1" applyBorder="1" applyAlignment="1" applyProtection="1">
      <alignment horizontal="center" vertical="center" wrapText="1"/>
      <protection hidden="1"/>
    </xf>
    <xf numFmtId="0" fontId="10" fillId="34" borderId="0" xfId="0" applyFont="1" applyFill="1" applyBorder="1" applyAlignment="1" applyProtection="1">
      <alignment vertical="center" wrapText="1"/>
      <protection hidden="1"/>
    </xf>
    <xf numFmtId="0" fontId="12" fillId="34" borderId="0" xfId="0" applyFont="1" applyFill="1" applyBorder="1" applyAlignment="1" applyProtection="1">
      <alignment vertical="center" wrapText="1"/>
      <protection hidden="1"/>
    </xf>
    <xf numFmtId="0" fontId="12" fillId="34" borderId="0" xfId="0" applyFont="1" applyFill="1" applyBorder="1" applyAlignment="1" applyProtection="1">
      <alignment horizontal="center" wrapText="1"/>
      <protection hidden="1"/>
    </xf>
    <xf numFmtId="167" fontId="5" fillId="0" borderId="62" xfId="28" applyNumberFormat="1" applyFont="1" applyFill="1" applyBorder="1" applyAlignment="1" applyProtection="1">
      <alignment horizontal="right" vertical="center" wrapText="1" indent="1"/>
      <protection hidden="1"/>
    </xf>
    <xf numFmtId="165" fontId="5" fillId="0" borderId="53" xfId="28" applyNumberFormat="1" applyFont="1" applyFill="1" applyBorder="1" applyAlignment="1" applyProtection="1">
      <alignment horizontal="right" vertical="center" wrapText="1" indent="1"/>
      <protection hidden="1"/>
    </xf>
    <xf numFmtId="165" fontId="5" fillId="0" borderId="54" xfId="28" applyNumberFormat="1" applyFont="1" applyFill="1" applyBorder="1" applyAlignment="1" applyProtection="1">
      <alignment horizontal="right" vertical="center" wrapText="1" indent="1"/>
      <protection hidden="1"/>
    </xf>
    <xf numFmtId="3" fontId="5" fillId="0" borderId="53" xfId="28" applyNumberFormat="1" applyFont="1" applyFill="1" applyBorder="1" applyAlignment="1" applyProtection="1">
      <alignment horizontal="right" vertical="center" wrapText="1" indent="1"/>
      <protection hidden="1"/>
    </xf>
    <xf numFmtId="168" fontId="5" fillId="0" borderId="62" xfId="28" applyNumberFormat="1" applyFont="1" applyFill="1" applyBorder="1" applyAlignment="1" applyProtection="1">
      <alignment horizontal="right" vertical="center" wrapText="1" indent="1"/>
      <protection hidden="1"/>
    </xf>
    <xf numFmtId="168" fontId="5" fillId="0" borderId="46" xfId="28" applyNumberFormat="1" applyFont="1" applyFill="1" applyBorder="1" applyAlignment="1" applyProtection="1">
      <alignment horizontal="right" vertical="center" wrapText="1" indent="1"/>
      <protection hidden="1"/>
    </xf>
    <xf numFmtId="37" fontId="5" fillId="0" borderId="3" xfId="28" applyNumberFormat="1" applyFont="1" applyFill="1" applyBorder="1" applyAlignment="1" applyProtection="1">
      <alignment horizontal="right" vertical="center" wrapText="1" indent="1"/>
      <protection hidden="1"/>
    </xf>
    <xf numFmtId="37" fontId="5" fillId="0" borderId="53" xfId="28" applyNumberFormat="1" applyFont="1" applyFill="1" applyBorder="1" applyAlignment="1" applyProtection="1">
      <alignment horizontal="right" vertical="center" wrapText="1" indent="1"/>
      <protection hidden="1"/>
    </xf>
    <xf numFmtId="37" fontId="5" fillId="0" borderId="54" xfId="28" applyNumberFormat="1" applyFont="1" applyFill="1" applyBorder="1" applyAlignment="1" applyProtection="1">
      <alignment horizontal="right" vertical="center" wrapText="1" indent="1"/>
      <protection hidden="1"/>
    </xf>
    <xf numFmtId="37" fontId="5" fillId="0" borderId="45" xfId="28" applyNumberFormat="1" applyFont="1" applyFill="1" applyBorder="1" applyAlignment="1" applyProtection="1">
      <alignment horizontal="right" vertical="center" wrapText="1" indent="1"/>
      <protection hidden="1"/>
    </xf>
    <xf numFmtId="37" fontId="44" fillId="0" borderId="61" xfId="28" applyNumberFormat="1" applyFont="1" applyBorder="1" applyAlignment="1" applyProtection="1">
      <alignment horizontal="right" vertical="center" wrapText="1" indent="1"/>
      <protection hidden="1"/>
    </xf>
    <xf numFmtId="3" fontId="44" fillId="0" borderId="61" xfId="28" applyNumberFormat="1" applyFont="1" applyBorder="1" applyAlignment="1" applyProtection="1">
      <alignment horizontal="right" vertical="center" wrapText="1" indent="1"/>
      <protection hidden="1"/>
    </xf>
    <xf numFmtId="166" fontId="4" fillId="0" borderId="63" xfId="58" applyNumberFormat="1" applyFont="1" applyFill="1" applyBorder="1" applyAlignment="1" applyProtection="1">
      <alignment horizontal="right" vertical="center" wrapText="1" indent="1"/>
      <protection hidden="1"/>
    </xf>
    <xf numFmtId="37" fontId="44" fillId="0" borderId="59" xfId="28" applyNumberFormat="1" applyFont="1" applyBorder="1" applyAlignment="1" applyProtection="1">
      <alignment horizontal="right" vertical="center" wrapText="1" indent="1"/>
      <protection hidden="1"/>
    </xf>
    <xf numFmtId="166" fontId="4" fillId="0" borderId="55" xfId="58" applyNumberFormat="1" applyFont="1" applyFill="1" applyBorder="1" applyAlignment="1" applyProtection="1">
      <alignment horizontal="right" vertical="center" wrapText="1" indent="1"/>
      <protection hidden="1"/>
    </xf>
    <xf numFmtId="165" fontId="44" fillId="0" borderId="61" xfId="28" applyNumberFormat="1" applyFont="1" applyBorder="1" applyAlignment="1" applyProtection="1">
      <alignment horizontal="right" vertical="center" wrapText="1" indent="1"/>
      <protection hidden="1"/>
    </xf>
    <xf numFmtId="37" fontId="4" fillId="0" borderId="45" xfId="28" applyNumberFormat="1" applyFont="1" applyBorder="1" applyAlignment="1" applyProtection="1">
      <alignment horizontal="right" vertical="center" wrapText="1" indent="1"/>
      <protection hidden="1"/>
    </xf>
    <xf numFmtId="168" fontId="4" fillId="0" borderId="46" xfId="28" applyNumberFormat="1" applyFont="1" applyBorder="1" applyAlignment="1" applyProtection="1">
      <alignment horizontal="right" vertical="center" wrapText="1" indent="1"/>
      <protection hidden="1"/>
    </xf>
    <xf numFmtId="3" fontId="4" fillId="0" borderId="53" xfId="28" applyNumberFormat="1" applyFont="1" applyBorder="1" applyAlignment="1" applyProtection="1">
      <alignment horizontal="right" vertical="center" wrapText="1" indent="1"/>
      <protection hidden="1"/>
    </xf>
    <xf numFmtId="165" fontId="4" fillId="0" borderId="54" xfId="28" applyNumberFormat="1" applyFont="1" applyBorder="1" applyAlignment="1" applyProtection="1">
      <alignment horizontal="right" vertical="center" wrapText="1" indent="1"/>
      <protection hidden="1"/>
    </xf>
    <xf numFmtId="166" fontId="4" fillId="0" borderId="55" xfId="58" applyNumberFormat="1" applyFont="1" applyBorder="1" applyAlignment="1" applyProtection="1">
      <alignment horizontal="right" vertical="center" wrapText="1" indent="1"/>
      <protection hidden="1"/>
    </xf>
    <xf numFmtId="165" fontId="4" fillId="0" borderId="53" xfId="28" applyNumberFormat="1" applyFont="1" applyBorder="1" applyAlignment="1" applyProtection="1">
      <alignment horizontal="right" vertical="center" wrapText="1" indent="1"/>
      <protection hidden="1"/>
    </xf>
    <xf numFmtId="37" fontId="4" fillId="0" borderId="53" xfId="28" applyNumberFormat="1" applyFont="1" applyBorder="1" applyAlignment="1" applyProtection="1">
      <alignment horizontal="right" vertical="center" wrapText="1" indent="1"/>
      <protection hidden="1"/>
    </xf>
    <xf numFmtId="37" fontId="4" fillId="0" borderId="54" xfId="28" applyNumberFormat="1" applyFont="1" applyBorder="1" applyAlignment="1" applyProtection="1">
      <alignment horizontal="right" vertical="center" wrapText="1" indent="1"/>
      <protection hidden="1"/>
    </xf>
    <xf numFmtId="37" fontId="4" fillId="0" borderId="3" xfId="28" applyNumberFormat="1" applyFont="1" applyBorder="1" applyAlignment="1" applyProtection="1">
      <alignment horizontal="right" vertical="center" wrapText="1" indent="1"/>
      <protection hidden="1"/>
    </xf>
    <xf numFmtId="37" fontId="4" fillId="0" borderId="47" xfId="28" applyNumberFormat="1" applyFont="1" applyBorder="1" applyAlignment="1" applyProtection="1">
      <alignment horizontal="right" vertical="center" wrapText="1" indent="1"/>
      <protection hidden="1"/>
    </xf>
    <xf numFmtId="168" fontId="4" fillId="0" borderId="48" xfId="28" applyNumberFormat="1" applyFont="1" applyBorder="1" applyAlignment="1" applyProtection="1">
      <alignment horizontal="right" vertical="center" wrapText="1" indent="1"/>
      <protection hidden="1"/>
    </xf>
    <xf numFmtId="3" fontId="4" fillId="0" borderId="56" xfId="28" applyNumberFormat="1" applyFont="1" applyBorder="1" applyAlignment="1" applyProtection="1">
      <alignment horizontal="right" vertical="center" wrapText="1" indent="1"/>
      <protection hidden="1"/>
    </xf>
    <xf numFmtId="165" fontId="4" fillId="0" borderId="57" xfId="28" applyNumberFormat="1" applyFont="1" applyBorder="1" applyAlignment="1" applyProtection="1">
      <alignment horizontal="right" vertical="center" wrapText="1" indent="1"/>
      <protection hidden="1"/>
    </xf>
    <xf numFmtId="166" fontId="4" fillId="0" borderId="58" xfId="58" applyNumberFormat="1" applyFont="1" applyBorder="1" applyAlignment="1" applyProtection="1">
      <alignment horizontal="right" vertical="center" wrapText="1" indent="1"/>
      <protection hidden="1"/>
    </xf>
    <xf numFmtId="165" fontId="4" fillId="0" borderId="56" xfId="28" applyNumberFormat="1" applyFont="1" applyBorder="1" applyAlignment="1" applyProtection="1">
      <alignment horizontal="right" vertical="center" wrapText="1" indent="1"/>
      <protection hidden="1"/>
    </xf>
    <xf numFmtId="37" fontId="4" fillId="0" borderId="56" xfId="28" applyNumberFormat="1" applyFont="1" applyBorder="1" applyAlignment="1" applyProtection="1">
      <alignment horizontal="right" vertical="center" wrapText="1" indent="1"/>
      <protection hidden="1"/>
    </xf>
    <xf numFmtId="37" fontId="4" fillId="0" borderId="57" xfId="28" applyNumberFormat="1" applyFont="1" applyBorder="1" applyAlignment="1" applyProtection="1">
      <alignment horizontal="right" vertical="center" wrapText="1" indent="1"/>
      <protection hidden="1"/>
    </xf>
    <xf numFmtId="37" fontId="4" fillId="0" borderId="5" xfId="28" applyNumberFormat="1" applyFont="1" applyBorder="1" applyAlignment="1" applyProtection="1">
      <alignment horizontal="right" vertical="center" wrapText="1" indent="1"/>
      <protection hidden="1"/>
    </xf>
    <xf numFmtId="165" fontId="4" fillId="0" borderId="45" xfId="28" applyNumberFormat="1" applyFont="1" applyBorder="1" applyAlignment="1" applyProtection="1">
      <alignment horizontal="right" vertical="center" wrapText="1" indent="1"/>
      <protection hidden="1"/>
    </xf>
    <xf numFmtId="165" fontId="4" fillId="0" borderId="3" xfId="28" applyNumberFormat="1" applyFont="1" applyBorder="1" applyAlignment="1" applyProtection="1">
      <alignment horizontal="right" vertical="center" wrapText="1" indent="1"/>
      <protection hidden="1"/>
    </xf>
    <xf numFmtId="165" fontId="44" fillId="0" borderId="59" xfId="28" applyNumberFormat="1" applyFont="1" applyBorder="1" applyAlignment="1" applyProtection="1">
      <alignment horizontal="right" vertical="center" wrapText="1" indent="1"/>
      <protection hidden="1"/>
    </xf>
    <xf numFmtId="0" fontId="0" fillId="34" borderId="0" xfId="0" applyFill="1" applyBorder="1" applyProtection="1">
      <protection hidden="1"/>
    </xf>
    <xf numFmtId="3" fontId="12" fillId="0" borderId="2" xfId="28" applyNumberFormat="1" applyFont="1" applyFill="1" applyBorder="1" applyAlignment="1" applyProtection="1">
      <alignment vertical="center" wrapText="1"/>
      <protection hidden="1"/>
    </xf>
    <xf numFmtId="3" fontId="12" fillId="0" borderId="10" xfId="28" applyNumberFormat="1" applyFont="1" applyFill="1" applyBorder="1" applyAlignment="1" applyProtection="1">
      <alignment vertical="center" wrapText="1"/>
      <protection hidden="1"/>
    </xf>
    <xf numFmtId="166" fontId="12" fillId="0" borderId="30" xfId="60" applyNumberFormat="1" applyFont="1" applyFill="1" applyBorder="1" applyAlignment="1" applyProtection="1">
      <alignment vertical="center" wrapText="1"/>
      <protection hidden="1"/>
    </xf>
    <xf numFmtId="3" fontId="12" fillId="0" borderId="2" xfId="0" applyNumberFormat="1" applyFont="1" applyFill="1" applyBorder="1" applyAlignment="1" applyProtection="1">
      <alignment vertical="center" wrapText="1"/>
      <protection hidden="1"/>
    </xf>
    <xf numFmtId="3" fontId="12" fillId="0" borderId="10" xfId="0" applyNumberFormat="1" applyFont="1" applyFill="1" applyBorder="1" applyAlignment="1" applyProtection="1">
      <alignment vertical="center" wrapText="1"/>
      <protection hidden="1"/>
    </xf>
    <xf numFmtId="3" fontId="12" fillId="37" borderId="2" xfId="28" applyNumberFormat="1" applyFont="1" applyFill="1" applyBorder="1" applyAlignment="1" applyProtection="1">
      <alignment vertical="center" wrapText="1"/>
      <protection hidden="1"/>
    </xf>
    <xf numFmtId="166" fontId="12" fillId="37" borderId="22" xfId="60" applyNumberFormat="1" applyFont="1" applyFill="1" applyBorder="1" applyAlignment="1" applyProtection="1">
      <alignment vertical="center" wrapText="1"/>
      <protection hidden="1"/>
    </xf>
    <xf numFmtId="166" fontId="12" fillId="0" borderId="22" xfId="60" applyNumberFormat="1" applyFont="1" applyFill="1" applyBorder="1" applyAlignment="1" applyProtection="1">
      <alignment vertical="center" wrapText="1"/>
      <protection hidden="1"/>
    </xf>
    <xf numFmtId="3" fontId="12" fillId="39" borderId="2" xfId="28" applyNumberFormat="1" applyFont="1" applyFill="1" applyBorder="1" applyAlignment="1" applyProtection="1">
      <alignment vertical="center" wrapText="1"/>
      <protection hidden="1"/>
    </xf>
    <xf numFmtId="166" fontId="12" fillId="39" borderId="22" xfId="60" applyNumberFormat="1" applyFont="1" applyFill="1" applyBorder="1" applyAlignment="1" applyProtection="1">
      <alignment vertical="center" wrapText="1"/>
      <protection hidden="1"/>
    </xf>
    <xf numFmtId="3" fontId="12" fillId="39" borderId="10" xfId="28" applyNumberFormat="1" applyFont="1" applyFill="1" applyBorder="1" applyAlignment="1" applyProtection="1">
      <alignment vertical="center" wrapText="1"/>
      <protection hidden="1"/>
    </xf>
    <xf numFmtId="166" fontId="12" fillId="39" borderId="30" xfId="60" applyNumberFormat="1" applyFont="1" applyFill="1" applyBorder="1" applyAlignment="1" applyProtection="1">
      <alignment vertical="center" wrapText="1"/>
      <protection hidden="1"/>
    </xf>
    <xf numFmtId="0" fontId="21" fillId="34" borderId="0" xfId="0" applyFont="1" applyFill="1" applyBorder="1" applyProtection="1">
      <protection hidden="1"/>
    </xf>
    <xf numFmtId="0" fontId="21" fillId="34" borderId="0" xfId="0" applyFont="1" applyFill="1" applyProtection="1">
      <protection hidden="1"/>
    </xf>
    <xf numFmtId="0" fontId="21" fillId="0" borderId="0" xfId="0" applyFont="1"/>
    <xf numFmtId="4" fontId="47" fillId="34" borderId="0" xfId="0" applyNumberFormat="1" applyFont="1" applyFill="1" applyBorder="1" applyAlignment="1" applyProtection="1">
      <alignment horizontal="left" wrapText="1" indent="2"/>
      <protection hidden="1"/>
    </xf>
    <xf numFmtId="166" fontId="7" fillId="0" borderId="2" xfId="53" applyNumberFormat="1" applyFont="1" applyFill="1" applyBorder="1" applyAlignment="1" applyProtection="1">
      <alignment vertical="center" wrapText="1"/>
      <protection hidden="1"/>
    </xf>
    <xf numFmtId="3" fontId="7" fillId="38" borderId="2" xfId="53" applyNumberFormat="1" applyFont="1" applyFill="1" applyBorder="1" applyAlignment="1" applyProtection="1">
      <alignment vertical="center" wrapText="1"/>
      <protection hidden="1"/>
    </xf>
    <xf numFmtId="164" fontId="7" fillId="38" borderId="2" xfId="53" applyNumberFormat="1" applyFont="1" applyFill="1" applyBorder="1" applyAlignment="1" applyProtection="1">
      <alignment vertical="center" wrapText="1"/>
      <protection hidden="1"/>
    </xf>
    <xf numFmtId="166" fontId="7" fillId="38" borderId="2" xfId="53" applyNumberFormat="1" applyFont="1" applyFill="1" applyBorder="1" applyAlignment="1" applyProtection="1">
      <alignment vertical="center" wrapText="1"/>
      <protection hidden="1"/>
    </xf>
    <xf numFmtId="4" fontId="19" fillId="34" borderId="0" xfId="0" applyNumberFormat="1" applyFont="1" applyFill="1" applyBorder="1" applyAlignment="1" applyProtection="1">
      <alignment vertical="center" wrapText="1"/>
      <protection hidden="1"/>
    </xf>
    <xf numFmtId="0" fontId="51" fillId="0" borderId="0" xfId="0" applyFont="1" applyFill="1" applyBorder="1" applyAlignment="1" applyProtection="1">
      <alignment vertical="center"/>
      <protection hidden="1"/>
    </xf>
    <xf numFmtId="3" fontId="15" fillId="0" borderId="0" xfId="0" applyNumberFormat="1" applyFont="1" applyFill="1" applyBorder="1" applyAlignment="1" applyProtection="1">
      <alignment horizontal="center" vertical="center" wrapText="1"/>
      <protection hidden="1"/>
    </xf>
    <xf numFmtId="0" fontId="12" fillId="0" borderId="12" xfId="0" applyFont="1" applyFill="1" applyBorder="1" applyAlignment="1" applyProtection="1">
      <alignment vertical="center" wrapText="1"/>
      <protection hidden="1"/>
    </xf>
    <xf numFmtId="0" fontId="12" fillId="0" borderId="13" xfId="0" applyFont="1" applyFill="1" applyBorder="1" applyAlignment="1" applyProtection="1">
      <alignment vertical="center" wrapText="1"/>
      <protection hidden="1"/>
    </xf>
    <xf numFmtId="0" fontId="4" fillId="0" borderId="17" xfId="0" applyFont="1" applyBorder="1" applyAlignment="1" applyProtection="1">
      <alignment horizontal="left" indent="1"/>
      <protection hidden="1"/>
    </xf>
    <xf numFmtId="0" fontId="12" fillId="40" borderId="2" xfId="0" applyFont="1" applyFill="1" applyBorder="1" applyAlignment="1" applyProtection="1">
      <alignment horizontal="center"/>
      <protection hidden="1"/>
    </xf>
    <xf numFmtId="49" fontId="54" fillId="34" borderId="0" xfId="0" applyNumberFormat="1" applyFont="1" applyFill="1" applyBorder="1" applyAlignment="1" applyProtection="1">
      <alignment horizontal="left" vertical="center"/>
      <protection hidden="1"/>
    </xf>
    <xf numFmtId="49" fontId="43" fillId="34" borderId="0" xfId="0" applyNumberFormat="1" applyFont="1" applyFill="1" applyBorder="1" applyAlignment="1" applyProtection="1">
      <alignment horizontal="center" wrapText="1"/>
      <protection hidden="1"/>
    </xf>
    <xf numFmtId="49" fontId="43" fillId="0" borderId="0" xfId="0" applyNumberFormat="1" applyFont="1" applyFill="1" applyBorder="1" applyAlignment="1" applyProtection="1">
      <alignment horizontal="center" wrapText="1"/>
      <protection hidden="1"/>
    </xf>
    <xf numFmtId="49" fontId="54" fillId="0" borderId="0" xfId="0" applyNumberFormat="1" applyFont="1" applyFill="1" applyBorder="1" applyAlignment="1" applyProtection="1">
      <alignment horizontal="left" vertical="center"/>
      <protection hidden="1"/>
    </xf>
    <xf numFmtId="49" fontId="12" fillId="0" borderId="13" xfId="0" applyNumberFormat="1" applyFont="1" applyFill="1" applyBorder="1" applyAlignment="1" applyProtection="1">
      <alignment horizontal="left" vertical="center" wrapText="1"/>
      <protection hidden="1"/>
    </xf>
    <xf numFmtId="164" fontId="12" fillId="0" borderId="66" xfId="0" applyNumberFormat="1" applyFont="1" applyFill="1" applyBorder="1" applyAlignment="1" applyProtection="1">
      <alignment vertical="center" wrapText="1"/>
      <protection hidden="1"/>
    </xf>
    <xf numFmtId="164" fontId="12" fillId="0" borderId="69" xfId="0" applyNumberFormat="1" applyFont="1" applyFill="1" applyBorder="1" applyAlignment="1" applyProtection="1">
      <alignment vertical="center" wrapText="1"/>
      <protection hidden="1"/>
    </xf>
    <xf numFmtId="0" fontId="12" fillId="0" borderId="68" xfId="0" applyFont="1" applyFill="1" applyBorder="1" applyAlignment="1" applyProtection="1">
      <alignment horizontal="left" vertical="center" wrapText="1"/>
      <protection hidden="1"/>
    </xf>
    <xf numFmtId="3" fontId="12" fillId="0" borderId="5" xfId="0" applyNumberFormat="1" applyFont="1" applyFill="1" applyBorder="1" applyAlignment="1" applyProtection="1">
      <alignment vertical="center" wrapText="1"/>
      <protection hidden="1"/>
    </xf>
    <xf numFmtId="164" fontId="12" fillId="0" borderId="70" xfId="0" applyNumberFormat="1" applyFont="1" applyFill="1" applyBorder="1" applyAlignment="1" applyProtection="1">
      <alignment vertical="center" wrapText="1"/>
      <protection hidden="1"/>
    </xf>
    <xf numFmtId="0" fontId="0" fillId="0" borderId="0" xfId="0" applyAlignment="1"/>
    <xf numFmtId="0" fontId="4" fillId="0" borderId="0" xfId="0" applyFont="1"/>
    <xf numFmtId="0" fontId="4" fillId="0" borderId="0" xfId="0" applyFont="1" applyFill="1" applyBorder="1"/>
    <xf numFmtId="0" fontId="4" fillId="42" borderId="0" xfId="0" applyFont="1" applyFill="1" applyBorder="1"/>
    <xf numFmtId="0" fontId="0" fillId="42" borderId="71" xfId="0" applyFill="1" applyBorder="1"/>
    <xf numFmtId="0" fontId="4" fillId="43" borderId="0" xfId="0" applyFont="1" applyFill="1"/>
    <xf numFmtId="0" fontId="0" fillId="43" borderId="0" xfId="0" applyFill="1"/>
    <xf numFmtId="0" fontId="0" fillId="43" borderId="71" xfId="0" applyFill="1" applyBorder="1"/>
    <xf numFmtId="0" fontId="10" fillId="0" borderId="0" xfId="0" applyFont="1" applyFill="1" applyBorder="1" applyAlignment="1" applyProtection="1">
      <alignment vertical="center" wrapText="1"/>
      <protection hidden="1"/>
    </xf>
    <xf numFmtId="0" fontId="4" fillId="0" borderId="0" xfId="0" applyFont="1" applyBorder="1" applyAlignment="1" applyProtection="1">
      <alignment horizontal="left" vertical="center"/>
      <protection hidden="1"/>
    </xf>
    <xf numFmtId="4" fontId="8" fillId="34" borderId="0" xfId="0" applyNumberFormat="1" applyFont="1" applyFill="1" applyBorder="1" applyProtection="1">
      <protection hidden="1"/>
    </xf>
    <xf numFmtId="0" fontId="43" fillId="0" borderId="0" xfId="0" applyFont="1"/>
    <xf numFmtId="4" fontId="4" fillId="42" borderId="3"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protection hidden="1"/>
    </xf>
    <xf numFmtId="169" fontId="0" fillId="0" borderId="0" xfId="0" applyNumberFormat="1"/>
    <xf numFmtId="3" fontId="7" fillId="44" borderId="2" xfId="53" applyNumberFormat="1" applyFont="1" applyFill="1" applyBorder="1" applyAlignment="1" applyProtection="1">
      <alignment vertical="center" wrapText="1"/>
      <protection hidden="1"/>
    </xf>
    <xf numFmtId="166" fontId="7" fillId="44" borderId="2" xfId="53" applyNumberFormat="1" applyFont="1" applyFill="1" applyBorder="1" applyAlignment="1" applyProtection="1">
      <alignment vertical="center" wrapText="1"/>
      <protection hidden="1"/>
    </xf>
    <xf numFmtId="3" fontId="7" fillId="45" borderId="2" xfId="53" applyNumberFormat="1" applyFont="1" applyFill="1" applyBorder="1" applyAlignment="1" applyProtection="1">
      <alignment vertical="center" wrapText="1"/>
      <protection hidden="1"/>
    </xf>
    <xf numFmtId="166" fontId="7" fillId="45" borderId="2" xfId="53" applyNumberFormat="1" applyFont="1" applyFill="1" applyBorder="1" applyAlignment="1" applyProtection="1">
      <alignment vertical="center" wrapText="1"/>
      <protection hidden="1"/>
    </xf>
    <xf numFmtId="164" fontId="7" fillId="45" borderId="2" xfId="53" applyNumberFormat="1" applyFont="1" applyFill="1" applyBorder="1" applyAlignment="1" applyProtection="1">
      <alignment vertical="center" wrapText="1"/>
      <protection hidden="1"/>
    </xf>
    <xf numFmtId="4" fontId="7" fillId="46" borderId="2" xfId="53" applyNumberFormat="1" applyFont="1" applyFill="1" applyBorder="1" applyAlignment="1" applyProtection="1">
      <alignment horizontal="center" vertical="center" wrapText="1"/>
      <protection hidden="1"/>
    </xf>
    <xf numFmtId="4" fontId="8" fillId="34" borderId="0" xfId="0" applyNumberFormat="1" applyFont="1" applyFill="1" applyBorder="1" applyAlignment="1" applyProtection="1">
      <alignment vertical="center" wrapText="1"/>
      <protection hidden="1"/>
    </xf>
    <xf numFmtId="0" fontId="4" fillId="43" borderId="71" xfId="0" applyFont="1" applyFill="1" applyBorder="1"/>
    <xf numFmtId="49" fontId="12" fillId="0" borderId="12" xfId="0" applyNumberFormat="1" applyFont="1" applyFill="1" applyBorder="1" applyAlignment="1" applyProtection="1">
      <alignment horizontal="left" vertical="center" wrapText="1"/>
      <protection hidden="1"/>
    </xf>
    <xf numFmtId="0" fontId="12" fillId="0" borderId="12" xfId="0" applyFont="1" applyFill="1" applyBorder="1" applyAlignment="1" applyProtection="1">
      <alignment horizontal="left" vertical="center" wrapText="1"/>
      <protection hidden="1"/>
    </xf>
    <xf numFmtId="0" fontId="12" fillId="0" borderId="13" xfId="0" applyFont="1" applyFill="1" applyBorder="1" applyAlignment="1" applyProtection="1">
      <alignment horizontal="left" vertical="center" wrapText="1"/>
      <protection hidden="1"/>
    </xf>
    <xf numFmtId="0" fontId="12" fillId="40" borderId="1" xfId="0" applyFont="1" applyFill="1" applyBorder="1" applyAlignment="1" applyProtection="1">
      <alignment horizontal="center"/>
      <protection hidden="1"/>
    </xf>
    <xf numFmtId="49" fontId="4" fillId="0" borderId="0" xfId="0" quotePrefix="1" applyNumberFormat="1" applyFont="1"/>
    <xf numFmtId="49" fontId="0" fillId="0" borderId="0" xfId="0" applyNumberFormat="1"/>
    <xf numFmtId="49" fontId="4" fillId="0" borderId="0" xfId="0" applyNumberFormat="1" applyFont="1"/>
    <xf numFmtId="49" fontId="6" fillId="0" borderId="0" xfId="0" applyNumberFormat="1" applyFont="1" applyFill="1" applyBorder="1" applyAlignment="1" applyProtection="1">
      <alignment vertical="center" wrapText="1"/>
      <protection hidden="1"/>
    </xf>
    <xf numFmtId="4" fontId="6" fillId="0" borderId="0" xfId="0" applyNumberFormat="1" applyFont="1" applyFill="1" applyBorder="1" applyAlignment="1" applyProtection="1">
      <alignment vertical="center" wrapText="1"/>
      <protection hidden="1"/>
    </xf>
    <xf numFmtId="3" fontId="7" fillId="38" borderId="0" xfId="53" applyNumberFormat="1" applyFont="1" applyFill="1" applyBorder="1" applyAlignment="1" applyProtection="1">
      <alignment vertical="center" wrapText="1"/>
      <protection hidden="1"/>
    </xf>
    <xf numFmtId="166" fontId="7" fillId="38" borderId="0" xfId="53" applyNumberFormat="1" applyFont="1" applyFill="1" applyBorder="1" applyAlignment="1" applyProtection="1">
      <alignment vertical="center" wrapText="1"/>
      <protection hidden="1"/>
    </xf>
    <xf numFmtId="0" fontId="43" fillId="0" borderId="0" xfId="0" applyFont="1" applyAlignment="1">
      <alignment horizontal="left"/>
    </xf>
    <xf numFmtId="0" fontId="4" fillId="0" borderId="0" xfId="0" applyFont="1" applyProtection="1"/>
    <xf numFmtId="0" fontId="56" fillId="2" borderId="0" xfId="0" applyFont="1" applyFill="1" applyBorder="1" applyAlignment="1" applyProtection="1">
      <alignment vertical="center" wrapText="1"/>
      <protection hidden="1"/>
    </xf>
    <xf numFmtId="49" fontId="56" fillId="2" borderId="0" xfId="0" applyNumberFormat="1" applyFont="1" applyFill="1" applyBorder="1" applyAlignment="1" applyProtection="1">
      <alignment vertical="center" wrapText="1"/>
      <protection hidden="1"/>
    </xf>
    <xf numFmtId="0" fontId="4" fillId="45" borderId="2" xfId="0" applyFont="1" applyFill="1" applyBorder="1"/>
    <xf numFmtId="4" fontId="4" fillId="45" borderId="2" xfId="0" applyNumberFormat="1" applyFont="1" applyFill="1" applyBorder="1" applyProtection="1">
      <protection hidden="1"/>
    </xf>
    <xf numFmtId="4" fontId="4" fillId="44" borderId="2" xfId="0" applyNumberFormat="1" applyFont="1" applyFill="1" applyBorder="1" applyProtection="1">
      <protection hidden="1"/>
    </xf>
    <xf numFmtId="4" fontId="5" fillId="0" borderId="2" xfId="0" applyNumberFormat="1" applyFont="1" applyFill="1" applyBorder="1" applyAlignment="1" applyProtection="1">
      <alignment vertical="center" wrapText="1"/>
      <protection hidden="1"/>
    </xf>
    <xf numFmtId="49" fontId="5" fillId="0" borderId="2" xfId="0" applyNumberFormat="1" applyFont="1" applyFill="1" applyBorder="1" applyAlignment="1" applyProtection="1">
      <alignment vertical="center" wrapText="1"/>
      <protection hidden="1"/>
    </xf>
    <xf numFmtId="4" fontId="4" fillId="34" borderId="0" xfId="0" applyNumberFormat="1" applyFont="1" applyFill="1" applyBorder="1" applyAlignment="1" applyProtection="1">
      <alignment vertical="center" wrapText="1"/>
      <protection hidden="1"/>
    </xf>
    <xf numFmtId="3" fontId="4" fillId="45" borderId="2" xfId="53" applyNumberFormat="1" applyFont="1" applyFill="1" applyBorder="1" applyAlignment="1" applyProtection="1">
      <alignment vertical="center" wrapText="1"/>
      <protection hidden="1"/>
    </xf>
    <xf numFmtId="166" fontId="4" fillId="45" borderId="2" xfId="53" applyNumberFormat="1" applyFont="1" applyFill="1" applyBorder="1" applyAlignment="1" applyProtection="1">
      <alignment vertical="center" wrapText="1"/>
      <protection hidden="1"/>
    </xf>
    <xf numFmtId="164" fontId="4" fillId="45" borderId="2" xfId="53" applyNumberFormat="1" applyFont="1" applyFill="1" applyBorder="1" applyAlignment="1" applyProtection="1">
      <alignment vertical="center" wrapText="1"/>
      <protection hidden="1"/>
    </xf>
    <xf numFmtId="3" fontId="4" fillId="44" borderId="2" xfId="53" applyNumberFormat="1" applyFont="1" applyFill="1" applyBorder="1" applyAlignment="1" applyProtection="1">
      <alignment vertical="center" wrapText="1"/>
      <protection hidden="1"/>
    </xf>
    <xf numFmtId="166" fontId="4" fillId="44" borderId="2" xfId="53" applyNumberFormat="1" applyFont="1" applyFill="1" applyBorder="1" applyAlignment="1" applyProtection="1">
      <alignment vertical="center" wrapText="1"/>
      <protection hidden="1"/>
    </xf>
    <xf numFmtId="164" fontId="4" fillId="44" borderId="2" xfId="53" applyNumberFormat="1" applyFont="1" applyFill="1" applyBorder="1" applyAlignment="1" applyProtection="1">
      <alignment vertical="center" wrapText="1"/>
      <protection hidden="1"/>
    </xf>
    <xf numFmtId="3" fontId="4" fillId="38" borderId="2" xfId="53" applyNumberFormat="1" applyFont="1" applyFill="1" applyBorder="1" applyAlignment="1" applyProtection="1">
      <alignment vertical="center" wrapText="1"/>
      <protection hidden="1"/>
    </xf>
    <xf numFmtId="166" fontId="4" fillId="38" borderId="2" xfId="53" applyNumberFormat="1" applyFont="1" applyFill="1" applyBorder="1" applyAlignment="1" applyProtection="1">
      <alignment vertical="center" wrapText="1"/>
      <protection hidden="1"/>
    </xf>
    <xf numFmtId="164" fontId="4" fillId="38" borderId="2" xfId="53" applyNumberFormat="1" applyFont="1" applyFill="1" applyBorder="1" applyAlignment="1" applyProtection="1">
      <alignment vertical="center" wrapText="1"/>
      <protection hidden="1"/>
    </xf>
    <xf numFmtId="0" fontId="4" fillId="0" borderId="72" xfId="0" applyFont="1" applyFill="1" applyBorder="1" applyAlignment="1" applyProtection="1">
      <alignment horizontal="left"/>
      <protection hidden="1"/>
    </xf>
    <xf numFmtId="0" fontId="4" fillId="0" borderId="31" xfId="0" applyFont="1" applyFill="1" applyBorder="1" applyAlignment="1" applyProtection="1">
      <alignment horizontal="left"/>
      <protection hidden="1"/>
    </xf>
    <xf numFmtId="0" fontId="4" fillId="0" borderId="32" xfId="0" applyFont="1" applyFill="1" applyBorder="1" applyAlignment="1" applyProtection="1">
      <alignment horizontal="left"/>
      <protection hidden="1"/>
    </xf>
    <xf numFmtId="0" fontId="4" fillId="0" borderId="17" xfId="0" applyFont="1" applyBorder="1" applyAlignment="1" applyProtection="1">
      <alignment horizontal="left" vertical="center"/>
      <protection hidden="1"/>
    </xf>
    <xf numFmtId="0" fontId="4" fillId="0" borderId="4" xfId="0" applyFont="1" applyBorder="1" applyAlignment="1" applyProtection="1">
      <alignment horizontal="left" vertical="center"/>
      <protection hidden="1"/>
    </xf>
    <xf numFmtId="0" fontId="43" fillId="34" borderId="29" xfId="0" applyFont="1" applyFill="1" applyBorder="1" applyAlignment="1" applyProtection="1">
      <protection hidden="1"/>
    </xf>
    <xf numFmtId="0" fontId="43" fillId="34" borderId="25" xfId="0" applyFont="1" applyFill="1" applyBorder="1" applyAlignment="1" applyProtection="1">
      <protection hidden="1"/>
    </xf>
    <xf numFmtId="0" fontId="12" fillId="42" borderId="31" xfId="0" applyFont="1" applyFill="1" applyBorder="1" applyAlignment="1" applyProtection="1">
      <alignment wrapText="1"/>
      <protection hidden="1"/>
    </xf>
    <xf numFmtId="0" fontId="4" fillId="0" borderId="32" xfId="0" applyFont="1" applyFill="1" applyBorder="1" applyAlignment="1" applyProtection="1">
      <alignment horizontal="center" vertical="center" wrapText="1"/>
      <protection hidden="1"/>
    </xf>
    <xf numFmtId="0" fontId="4" fillId="0" borderId="29" xfId="0" applyFont="1" applyBorder="1" applyAlignment="1" applyProtection="1">
      <alignment horizontal="left" vertical="center"/>
      <protection hidden="1"/>
    </xf>
    <xf numFmtId="0" fontId="43" fillId="34" borderId="21" xfId="0" applyFont="1" applyFill="1" applyBorder="1" applyProtection="1">
      <protection hidden="1"/>
    </xf>
    <xf numFmtId="0" fontId="43" fillId="34" borderId="29" xfId="0" applyFont="1" applyFill="1" applyBorder="1" applyProtection="1">
      <protection hidden="1"/>
    </xf>
    <xf numFmtId="0" fontId="4" fillId="0" borderId="17" xfId="0" applyFont="1" applyFill="1" applyBorder="1" applyAlignment="1" applyProtection="1">
      <alignment vertical="center"/>
      <protection hidden="1"/>
    </xf>
    <xf numFmtId="0" fontId="10" fillId="0" borderId="4" xfId="0" applyFont="1" applyFill="1" applyBorder="1" applyAlignment="1" applyProtection="1">
      <alignment vertical="center" wrapText="1"/>
      <protection hidden="1"/>
    </xf>
    <xf numFmtId="0" fontId="43" fillId="34" borderId="25" xfId="0" applyFont="1" applyFill="1" applyBorder="1" applyProtection="1">
      <protection hidden="1"/>
    </xf>
    <xf numFmtId="0" fontId="12" fillId="42" borderId="0" xfId="0" applyFont="1" applyFill="1" applyBorder="1" applyAlignment="1" applyProtection="1">
      <alignment horizontal="left" wrapText="1"/>
      <protection hidden="1"/>
    </xf>
    <xf numFmtId="0" fontId="4" fillId="42" borderId="21" xfId="0" applyFont="1" applyFill="1" applyBorder="1" applyAlignment="1" applyProtection="1">
      <alignment horizontal="left"/>
      <protection hidden="1"/>
    </xf>
    <xf numFmtId="0" fontId="4" fillId="42" borderId="29" xfId="0" applyFont="1" applyFill="1" applyBorder="1" applyAlignment="1" applyProtection="1">
      <alignment vertical="center"/>
      <protection hidden="1"/>
    </xf>
    <xf numFmtId="0" fontId="4" fillId="42" borderId="2" xfId="0" applyFont="1" applyFill="1" applyBorder="1" applyAlignment="1" applyProtection="1">
      <alignment horizontal="center" wrapText="1"/>
      <protection hidden="1"/>
    </xf>
    <xf numFmtId="0" fontId="4" fillId="42" borderId="7" xfId="0" applyFont="1" applyFill="1" applyBorder="1" applyAlignment="1" applyProtection="1">
      <alignment horizontal="center" wrapText="1"/>
      <protection hidden="1"/>
    </xf>
    <xf numFmtId="3" fontId="4" fillId="0" borderId="2" xfId="30" applyNumberFormat="1" applyFont="1" applyFill="1" applyBorder="1" applyAlignment="1" applyProtection="1">
      <alignment wrapText="1"/>
      <protection hidden="1"/>
    </xf>
    <xf numFmtId="166" fontId="4" fillId="0" borderId="2" xfId="0" applyNumberFormat="1" applyFont="1" applyFill="1" applyBorder="1" applyAlignment="1">
      <alignment horizontal="right" wrapText="1"/>
    </xf>
    <xf numFmtId="0" fontId="4" fillId="45" borderId="2" xfId="0" applyFont="1" applyFill="1" applyBorder="1" applyAlignment="1" applyProtection="1">
      <alignment wrapText="1"/>
      <protection hidden="1"/>
    </xf>
    <xf numFmtId="3" fontId="4" fillId="45" borderId="5" xfId="28" applyNumberFormat="1" applyFont="1" applyFill="1" applyBorder="1" applyAlignment="1" applyProtection="1">
      <alignment wrapText="1"/>
      <protection hidden="1"/>
    </xf>
    <xf numFmtId="166" fontId="4" fillId="45" borderId="5" xfId="58" applyNumberFormat="1" applyFont="1" applyFill="1" applyBorder="1" applyAlignment="1" applyProtection="1">
      <alignment wrapText="1"/>
      <protection hidden="1"/>
    </xf>
    <xf numFmtId="166" fontId="4" fillId="0" borderId="2" xfId="60" applyNumberFormat="1" applyFont="1" applyFill="1" applyBorder="1" applyAlignment="1" applyProtection="1">
      <alignment wrapText="1"/>
      <protection hidden="1"/>
    </xf>
    <xf numFmtId="0" fontId="4" fillId="44" borderId="2" xfId="0" applyFont="1" applyFill="1" applyBorder="1" applyAlignment="1" applyProtection="1">
      <alignment wrapText="1"/>
      <protection hidden="1"/>
    </xf>
    <xf numFmtId="3" fontId="4" fillId="44" borderId="2" xfId="28" applyNumberFormat="1" applyFont="1" applyFill="1" applyBorder="1" applyAlignment="1" applyProtection="1">
      <alignment wrapText="1"/>
      <protection hidden="1"/>
    </xf>
    <xf numFmtId="166" fontId="4" fillId="44" borderId="2" xfId="58" applyNumberFormat="1" applyFont="1" applyFill="1" applyBorder="1" applyAlignment="1" applyProtection="1">
      <alignment wrapText="1"/>
      <protection hidden="1"/>
    </xf>
    <xf numFmtId="3" fontId="4" fillId="44" borderId="2" xfId="30" applyNumberFormat="1" applyFont="1" applyFill="1" applyBorder="1" applyAlignment="1" applyProtection="1">
      <alignment wrapText="1"/>
      <protection hidden="1"/>
    </xf>
    <xf numFmtId="166" fontId="4" fillId="44" borderId="2" xfId="0" applyNumberFormat="1" applyFont="1" applyFill="1" applyBorder="1" applyAlignment="1">
      <alignment horizontal="right" wrapText="1"/>
    </xf>
    <xf numFmtId="0" fontId="12" fillId="0" borderId="31" xfId="0" applyFont="1" applyFill="1" applyBorder="1" applyAlignment="1" applyProtection="1">
      <alignment horizontal="center" wrapText="1"/>
      <protection hidden="1"/>
    </xf>
    <xf numFmtId="0" fontId="12" fillId="0" borderId="32" xfId="0" applyFont="1" applyFill="1" applyBorder="1" applyAlignment="1" applyProtection="1">
      <alignment horizontal="center" wrapText="1"/>
      <protection hidden="1"/>
    </xf>
    <xf numFmtId="0" fontId="12" fillId="34" borderId="27" xfId="0" applyFont="1" applyFill="1" applyBorder="1" applyAlignment="1" applyProtection="1">
      <alignment vertical="center" wrapText="1"/>
      <protection hidden="1"/>
    </xf>
    <xf numFmtId="0" fontId="57" fillId="34" borderId="27" xfId="0" applyFont="1" applyFill="1" applyBorder="1" applyAlignment="1" applyProtection="1">
      <alignment horizontal="center" wrapText="1"/>
      <protection hidden="1"/>
    </xf>
    <xf numFmtId="0" fontId="4" fillId="34" borderId="0" xfId="0" applyFont="1" applyFill="1" applyBorder="1" applyAlignment="1" applyProtection="1">
      <alignment horizontal="center" vertical="center" wrapText="1"/>
      <protection hidden="1"/>
    </xf>
    <xf numFmtId="0" fontId="12" fillId="2" borderId="23" xfId="0" applyFont="1" applyFill="1" applyBorder="1" applyAlignment="1" applyProtection="1">
      <alignment horizontal="left" vertical="center" wrapText="1"/>
      <protection hidden="1"/>
    </xf>
    <xf numFmtId="0" fontId="12" fillId="0" borderId="64" xfId="0" applyFont="1" applyFill="1" applyBorder="1" applyAlignment="1" applyProtection="1">
      <alignment horizontal="center" vertical="center" wrapText="1"/>
      <protection hidden="1"/>
    </xf>
    <xf numFmtId="0" fontId="12" fillId="0" borderId="65" xfId="0" applyFont="1" applyFill="1" applyBorder="1" applyAlignment="1" applyProtection="1">
      <alignment horizontal="center" vertical="center" wrapText="1"/>
      <protection hidden="1"/>
    </xf>
    <xf numFmtId="0" fontId="21" fillId="35" borderId="67" xfId="0" applyFont="1" applyFill="1" applyBorder="1" applyAlignment="1" applyProtection="1">
      <alignment horizontal="left" vertical="center" wrapText="1"/>
      <protection hidden="1"/>
    </xf>
    <xf numFmtId="3" fontId="21" fillId="35" borderId="9" xfId="0" applyNumberFormat="1" applyFont="1" applyFill="1" applyBorder="1" applyAlignment="1" applyProtection="1">
      <alignment vertical="center" wrapText="1"/>
      <protection hidden="1"/>
    </xf>
    <xf numFmtId="3" fontId="21" fillId="35" borderId="9" xfId="28" applyNumberFormat="1" applyFont="1" applyFill="1" applyBorder="1" applyAlignment="1" applyProtection="1">
      <alignment vertical="center" wrapText="1"/>
      <protection hidden="1"/>
    </xf>
    <xf numFmtId="166" fontId="21" fillId="35" borderId="19" xfId="28" applyNumberFormat="1" applyFont="1" applyFill="1" applyBorder="1" applyAlignment="1" applyProtection="1">
      <alignment vertical="center" wrapText="1"/>
      <protection hidden="1"/>
    </xf>
    <xf numFmtId="49" fontId="4" fillId="34" borderId="0" xfId="0" applyNumberFormat="1" applyFont="1" applyFill="1" applyBorder="1" applyProtection="1">
      <protection hidden="1"/>
    </xf>
    <xf numFmtId="166" fontId="21" fillId="35" borderId="19" xfId="0" applyNumberFormat="1" applyFont="1" applyFill="1" applyBorder="1" applyAlignment="1" applyProtection="1">
      <alignment vertical="center" wrapText="1"/>
      <protection hidden="1"/>
    </xf>
    <xf numFmtId="0" fontId="21" fillId="36" borderId="67" xfId="0" applyFont="1" applyFill="1" applyBorder="1" applyAlignment="1" applyProtection="1">
      <alignment horizontal="left" vertical="center" wrapText="1"/>
      <protection hidden="1"/>
    </xf>
    <xf numFmtId="3" fontId="21" fillId="36" borderId="9" xfId="0" applyNumberFormat="1" applyFont="1" applyFill="1" applyBorder="1" applyAlignment="1" applyProtection="1">
      <alignment vertical="center" wrapText="1"/>
      <protection hidden="1"/>
    </xf>
    <xf numFmtId="166" fontId="21" fillId="36" borderId="19" xfId="58" applyNumberFormat="1" applyFont="1" applyFill="1" applyBorder="1" applyAlignment="1" applyProtection="1">
      <alignment vertical="center" wrapText="1"/>
      <protection hidden="1"/>
    </xf>
    <xf numFmtId="0" fontId="59" fillId="36" borderId="11" xfId="0" applyFont="1" applyFill="1" applyBorder="1" applyAlignment="1" applyProtection="1">
      <alignment horizontal="left" vertical="center" wrapText="1"/>
      <protection hidden="1"/>
    </xf>
    <xf numFmtId="3" fontId="59" fillId="36" borderId="19" xfId="0" applyNumberFormat="1" applyFont="1" applyFill="1" applyBorder="1" applyAlignment="1" applyProtection="1">
      <alignment vertical="center" wrapText="1"/>
      <protection hidden="1"/>
    </xf>
    <xf numFmtId="0" fontId="59" fillId="0" borderId="8" xfId="0" applyFont="1" applyFill="1" applyBorder="1" applyAlignment="1" applyProtection="1">
      <alignment horizontal="center" vertical="center" wrapText="1"/>
      <protection hidden="1"/>
    </xf>
    <xf numFmtId="0" fontId="4" fillId="34" borderId="8" xfId="0" applyFont="1" applyFill="1" applyBorder="1" applyProtection="1">
      <protection hidden="1"/>
    </xf>
    <xf numFmtId="0" fontId="4" fillId="0" borderId="0" xfId="0" applyFont="1" applyFill="1" applyBorder="1" applyProtection="1">
      <protection hidden="1"/>
    </xf>
    <xf numFmtId="0" fontId="57" fillId="0" borderId="0" xfId="0" applyFont="1" applyFill="1" applyBorder="1" applyAlignment="1" applyProtection="1">
      <alignment horizontal="center" wrapText="1"/>
      <protection hidden="1"/>
    </xf>
    <xf numFmtId="0" fontId="57" fillId="34" borderId="0" xfId="0" applyFont="1" applyFill="1" applyBorder="1" applyAlignment="1" applyProtection="1">
      <alignment horizontal="center" wrapText="1"/>
      <protection hidden="1"/>
    </xf>
    <xf numFmtId="0" fontId="4" fillId="34" borderId="0" xfId="0" applyFont="1" applyFill="1" applyBorder="1" applyAlignment="1" applyProtection="1">
      <alignment horizontal="center"/>
      <protection hidden="1"/>
    </xf>
    <xf numFmtId="3" fontId="57" fillId="34" borderId="0" xfId="0" applyNumberFormat="1" applyFont="1" applyFill="1" applyBorder="1" applyAlignment="1" applyProtection="1">
      <alignment horizontal="center" wrapText="1"/>
      <protection hidden="1"/>
    </xf>
    <xf numFmtId="166" fontId="21" fillId="35" borderId="19" xfId="58" applyNumberFormat="1" applyFont="1" applyFill="1" applyBorder="1" applyAlignment="1" applyProtection="1">
      <alignment vertical="center" wrapText="1"/>
      <protection hidden="1"/>
    </xf>
    <xf numFmtId="0" fontId="57" fillId="34" borderId="15" xfId="0" applyFont="1" applyFill="1" applyBorder="1" applyAlignment="1" applyProtection="1">
      <alignment horizontal="center" wrapText="1"/>
      <protection hidden="1"/>
    </xf>
    <xf numFmtId="0" fontId="4" fillId="34" borderId="15" xfId="0" applyFont="1" applyFill="1" applyBorder="1" applyAlignment="1" applyProtection="1">
      <alignment horizontal="center"/>
      <protection hidden="1"/>
    </xf>
    <xf numFmtId="0" fontId="4" fillId="34" borderId="24" xfId="0" applyFont="1" applyFill="1" applyBorder="1" applyAlignment="1" applyProtection="1">
      <protection hidden="1"/>
    </xf>
    <xf numFmtId="4" fontId="5" fillId="0" borderId="20" xfId="0" applyNumberFormat="1" applyFont="1" applyFill="1" applyBorder="1" applyAlignment="1" applyProtection="1">
      <alignment vertical="center" wrapText="1"/>
      <protection hidden="1"/>
    </xf>
    <xf numFmtId="37" fontId="5" fillId="0" borderId="44" xfId="28" applyNumberFormat="1" applyFont="1" applyFill="1" applyBorder="1" applyAlignment="1" applyProtection="1">
      <alignment horizontal="right" vertical="center" wrapText="1" indent="1"/>
      <protection hidden="1"/>
    </xf>
    <xf numFmtId="168" fontId="5" fillId="0" borderId="44" xfId="28" applyNumberFormat="1" applyFont="1" applyFill="1" applyBorder="1" applyAlignment="1" applyProtection="1">
      <alignment horizontal="right" vertical="center" wrapText="1" indent="1"/>
      <protection hidden="1"/>
    </xf>
    <xf numFmtId="166" fontId="4" fillId="0" borderId="52" xfId="58" applyNumberFormat="1" applyFont="1" applyFill="1" applyBorder="1" applyAlignment="1" applyProtection="1">
      <alignment horizontal="right" vertical="center" wrapText="1" indent="1"/>
      <protection hidden="1"/>
    </xf>
    <xf numFmtId="37" fontId="5" fillId="0" borderId="2" xfId="28" applyNumberFormat="1" applyFont="1" applyFill="1" applyBorder="1" applyAlignment="1" applyProtection="1">
      <alignment horizontal="right" vertical="center" wrapText="1" indent="1"/>
      <protection hidden="1"/>
    </xf>
    <xf numFmtId="0" fontId="44" fillId="0" borderId="60" xfId="0" applyFont="1" applyBorder="1" applyAlignment="1" applyProtection="1">
      <alignment horizontal="left"/>
      <protection hidden="1"/>
    </xf>
    <xf numFmtId="0" fontId="4" fillId="0" borderId="21" xfId="0" applyFont="1" applyBorder="1" applyAlignment="1" applyProtection="1">
      <alignment horizontal="left" indent="1"/>
      <protection hidden="1"/>
    </xf>
    <xf numFmtId="0" fontId="4" fillId="34" borderId="0" xfId="0" applyFont="1" applyFill="1" applyProtection="1">
      <protection hidden="1"/>
    </xf>
    <xf numFmtId="4" fontId="4" fillId="34" borderId="7" xfId="0" applyNumberFormat="1" applyFont="1" applyFill="1" applyBorder="1" applyProtection="1">
      <protection hidden="1"/>
    </xf>
    <xf numFmtId="4" fontId="4" fillId="34" borderId="5" xfId="0" applyNumberFormat="1" applyFont="1" applyFill="1" applyBorder="1" applyAlignment="1" applyProtection="1">
      <alignment vertical="center" wrapText="1"/>
      <protection hidden="1"/>
    </xf>
    <xf numFmtId="0" fontId="4" fillId="0" borderId="42" xfId="0" applyFont="1" applyFill="1" applyBorder="1" applyAlignment="1" applyProtection="1">
      <alignment horizontal="center" vertical="center" wrapText="1"/>
      <protection hidden="1"/>
    </xf>
    <xf numFmtId="4" fontId="4" fillId="0" borderId="43" xfId="0" applyNumberFormat="1" applyFont="1" applyFill="1" applyBorder="1" applyAlignment="1" applyProtection="1">
      <alignment horizontal="center" vertical="center" wrapText="1"/>
      <protection hidden="1"/>
    </xf>
    <xf numFmtId="0" fontId="4" fillId="0" borderId="49" xfId="0" applyFont="1" applyFill="1" applyBorder="1" applyAlignment="1" applyProtection="1">
      <alignment horizontal="center" vertical="center" wrapText="1"/>
      <protection hidden="1"/>
    </xf>
    <xf numFmtId="0" fontId="4" fillId="0" borderId="50" xfId="0" applyFont="1" applyBorder="1" applyAlignment="1" applyProtection="1">
      <alignment horizontal="center" vertical="center" wrapText="1"/>
      <protection hidden="1"/>
    </xf>
    <xf numFmtId="0" fontId="4" fillId="0" borderId="51" xfId="0" applyFont="1" applyBorder="1" applyAlignment="1" applyProtection="1">
      <alignment horizontal="center" vertical="center" wrapText="1"/>
      <protection hidden="1"/>
    </xf>
    <xf numFmtId="0" fontId="4" fillId="0" borderId="7" xfId="0" applyFont="1" applyFill="1" applyBorder="1" applyAlignment="1" applyProtection="1">
      <alignment horizontal="center" vertical="center" wrapText="1"/>
      <protection hidden="1"/>
    </xf>
    <xf numFmtId="4" fontId="4" fillId="0" borderId="17" xfId="0" applyNumberFormat="1" applyFont="1" applyFill="1" applyBorder="1" applyProtection="1">
      <protection hidden="1"/>
    </xf>
    <xf numFmtId="0" fontId="12" fillId="42" borderId="2" xfId="0" applyFont="1" applyFill="1" applyBorder="1" applyAlignment="1" applyProtection="1">
      <alignment horizontal="center"/>
      <protection hidden="1"/>
    </xf>
    <xf numFmtId="49" fontId="4" fillId="0" borderId="2" xfId="0" applyNumberFormat="1" applyFont="1" applyFill="1" applyBorder="1" applyAlignment="1" applyProtection="1">
      <alignment horizontal="left" wrapText="1"/>
      <protection hidden="1"/>
    </xf>
    <xf numFmtId="0" fontId="4" fillId="0" borderId="2" xfId="0" applyFont="1" applyFill="1" applyBorder="1" applyAlignment="1" applyProtection="1">
      <alignment horizontal="left" wrapText="1"/>
      <protection hidden="1"/>
    </xf>
    <xf numFmtId="0" fontId="4" fillId="0" borderId="2" xfId="0" applyFont="1" applyBorder="1" applyAlignment="1" applyProtection="1">
      <alignment horizontal="left" wrapText="1"/>
      <protection hidden="1"/>
    </xf>
    <xf numFmtId="0" fontId="4" fillId="0" borderId="2" xfId="0" applyFont="1" applyBorder="1"/>
    <xf numFmtId="0" fontId="4" fillId="0" borderId="2" xfId="0" applyFont="1" applyFill="1" applyBorder="1"/>
    <xf numFmtId="4" fontId="4" fillId="0" borderId="0" xfId="0" applyNumberFormat="1" applyFont="1" applyFill="1" applyBorder="1" applyAlignment="1" applyProtection="1">
      <protection hidden="1"/>
    </xf>
    <xf numFmtId="3" fontId="4" fillId="0" borderId="0" xfId="30" applyNumberFormat="1" applyFont="1" applyFill="1" applyBorder="1" applyAlignment="1" applyProtection="1">
      <alignment wrapText="1"/>
      <protection hidden="1"/>
    </xf>
    <xf numFmtId="166" fontId="4" fillId="0" borderId="0" xfId="0" applyNumberFormat="1" applyFont="1" applyFill="1" applyBorder="1" applyAlignment="1">
      <alignment horizontal="right" wrapText="1"/>
    </xf>
    <xf numFmtId="0" fontId="12" fillId="0" borderId="14" xfId="0" applyFont="1" applyFill="1" applyBorder="1" applyAlignment="1" applyProtection="1">
      <alignment horizontal="left" vertical="center" wrapText="1"/>
      <protection hidden="1"/>
    </xf>
    <xf numFmtId="0" fontId="12" fillId="0" borderId="3" xfId="0" applyFont="1" applyFill="1" applyBorder="1" applyAlignment="1" applyProtection="1">
      <alignment horizontal="center" vertical="center" wrapText="1"/>
      <protection hidden="1"/>
    </xf>
    <xf numFmtId="0" fontId="12" fillId="0" borderId="3" xfId="0" applyFont="1" applyBorder="1" applyAlignment="1" applyProtection="1">
      <alignment horizontal="center" vertical="center" wrapText="1"/>
      <protection hidden="1"/>
    </xf>
    <xf numFmtId="0" fontId="12" fillId="0" borderId="73" xfId="0" applyFont="1" applyBorder="1" applyAlignment="1" applyProtection="1">
      <alignment horizontal="center" vertical="center" wrapText="1"/>
      <protection hidden="1"/>
    </xf>
    <xf numFmtId="0" fontId="12" fillId="0" borderId="74" xfId="0" applyFont="1" applyFill="1" applyBorder="1" applyAlignment="1" applyProtection="1">
      <alignment horizontal="center" vertical="center" wrapText="1"/>
      <protection hidden="1"/>
    </xf>
    <xf numFmtId="0" fontId="12" fillId="0" borderId="74" xfId="0" applyFont="1" applyBorder="1" applyAlignment="1" applyProtection="1">
      <alignment horizontal="center" vertical="center" wrapText="1"/>
      <protection hidden="1"/>
    </xf>
    <xf numFmtId="0" fontId="12" fillId="0" borderId="75" xfId="0" applyFont="1" applyBorder="1" applyAlignment="1" applyProtection="1">
      <alignment horizontal="center" vertical="center" wrapText="1"/>
      <protection hidden="1"/>
    </xf>
    <xf numFmtId="3" fontId="59" fillId="0" borderId="65" xfId="0" applyNumberFormat="1" applyFont="1" applyFill="1" applyBorder="1" applyAlignment="1" applyProtection="1">
      <alignment vertical="center" wrapText="1"/>
      <protection hidden="1"/>
    </xf>
    <xf numFmtId="0" fontId="0" fillId="0" borderId="0" xfId="0" applyBorder="1" applyAlignment="1"/>
    <xf numFmtId="0" fontId="0" fillId="0" borderId="0" xfId="0" applyBorder="1"/>
    <xf numFmtId="0" fontId="0" fillId="0" borderId="0" xfId="0" applyAlignment="1">
      <alignment horizontal="left"/>
    </xf>
    <xf numFmtId="0" fontId="13" fillId="0" borderId="31" xfId="0" applyFont="1" applyFill="1" applyBorder="1" applyAlignment="1" applyProtection="1">
      <alignment horizontal="center" wrapText="1"/>
      <protection hidden="1"/>
    </xf>
    <xf numFmtId="0" fontId="13" fillId="0" borderId="32" xfId="0" applyFont="1" applyFill="1" applyBorder="1" applyAlignment="1" applyProtection="1">
      <alignment horizontal="center" wrapText="1"/>
      <protection hidden="1"/>
    </xf>
    <xf numFmtId="169" fontId="57" fillId="42" borderId="16" xfId="0" applyNumberFormat="1" applyFont="1" applyFill="1" applyBorder="1" applyAlignment="1" applyProtection="1">
      <alignment wrapText="1"/>
      <protection hidden="1"/>
    </xf>
    <xf numFmtId="169" fontId="57" fillId="42" borderId="26" xfId="0" applyNumberFormat="1" applyFont="1" applyFill="1" applyBorder="1" applyAlignment="1" applyProtection="1">
      <alignment wrapText="1"/>
      <protection hidden="1"/>
    </xf>
    <xf numFmtId="0" fontId="21" fillId="42" borderId="28" xfId="0" applyFont="1" applyFill="1" applyBorder="1" applyAlignment="1" applyProtection="1">
      <protection hidden="1"/>
    </xf>
    <xf numFmtId="0" fontId="21" fillId="42" borderId="1" xfId="0" applyFont="1" applyFill="1" applyBorder="1" applyAlignment="1" applyProtection="1">
      <protection hidden="1"/>
    </xf>
    <xf numFmtId="0" fontId="59" fillId="34" borderId="0" xfId="0" applyFont="1" applyFill="1" applyBorder="1" applyAlignment="1" applyProtection="1">
      <alignment horizontal="left" vertical="center" wrapText="1"/>
      <protection hidden="1"/>
    </xf>
    <xf numFmtId="3" fontId="59" fillId="34" borderId="0" xfId="0" applyNumberFormat="1" applyFont="1" applyFill="1" applyBorder="1" applyAlignment="1" applyProtection="1">
      <alignment horizontal="right" vertical="center" wrapText="1"/>
      <protection hidden="1"/>
    </xf>
    <xf numFmtId="0" fontId="4" fillId="0" borderId="7" xfId="0" applyFont="1" applyBorder="1" applyAlignment="1" applyProtection="1">
      <alignment horizontal="left" wrapText="1"/>
      <protection hidden="1"/>
    </xf>
    <xf numFmtId="0" fontId="4" fillId="0" borderId="0" xfId="0" applyFont="1" applyBorder="1"/>
    <xf numFmtId="0" fontId="4" fillId="0" borderId="0" xfId="0" applyFont="1" applyBorder="1" applyAlignment="1">
      <alignment horizontal="left" wrapText="1"/>
    </xf>
    <xf numFmtId="0" fontId="0" fillId="0" borderId="0" xfId="0" applyBorder="1" applyAlignment="1">
      <alignment horizontal="left" wrapText="1"/>
    </xf>
    <xf numFmtId="164" fontId="12" fillId="0" borderId="70" xfId="0" applyNumberFormat="1" applyFont="1" applyFill="1" applyBorder="1" applyAlignment="1" applyProtection="1">
      <alignment horizontal="right" vertical="center" wrapText="1"/>
      <protection hidden="1"/>
    </xf>
    <xf numFmtId="0" fontId="60" fillId="0" borderId="0" xfId="58" applyNumberFormat="1" applyFont="1" applyFill="1" applyBorder="1" applyAlignment="1" applyProtection="1">
      <alignment horizontal="left" vertical="top" wrapText="1"/>
    </xf>
    <xf numFmtId="49" fontId="4" fillId="0" borderId="2" xfId="0" applyNumberFormat="1" applyFont="1" applyFill="1" applyBorder="1" applyAlignment="1" applyProtection="1">
      <alignment vertical="center" wrapText="1"/>
      <protection hidden="1"/>
    </xf>
    <xf numFmtId="0" fontId="4" fillId="0" borderId="2" xfId="0" applyFont="1" applyFill="1" applyBorder="1" applyAlignment="1" applyProtection="1">
      <alignment vertical="center" wrapText="1"/>
      <protection hidden="1"/>
    </xf>
    <xf numFmtId="0" fontId="4" fillId="0" borderId="2" xfId="0" quotePrefix="1" applyFont="1" applyFill="1" applyBorder="1" applyAlignment="1" applyProtection="1">
      <alignment vertical="center" wrapText="1"/>
      <protection hidden="1"/>
    </xf>
    <xf numFmtId="0" fontId="4" fillId="44" borderId="2" xfId="0" applyFont="1" applyFill="1" applyBorder="1" applyAlignment="1" applyProtection="1">
      <alignment vertical="center" wrapText="1"/>
      <protection hidden="1"/>
    </xf>
    <xf numFmtId="3" fontId="12" fillId="37" borderId="10" xfId="28" applyNumberFormat="1" applyFont="1" applyFill="1" applyBorder="1" applyAlignment="1" applyProtection="1">
      <alignment vertical="center" wrapText="1"/>
      <protection hidden="1"/>
    </xf>
    <xf numFmtId="166" fontId="12" fillId="37" borderId="30" xfId="60" applyNumberFormat="1" applyFont="1" applyFill="1" applyBorder="1" applyAlignment="1" applyProtection="1">
      <alignment vertical="center" wrapText="1"/>
      <protection hidden="1"/>
    </xf>
    <xf numFmtId="0" fontId="4" fillId="0" borderId="2" xfId="0" applyFont="1" applyBorder="1" applyAlignment="1">
      <alignment horizontal="left" wrapText="1"/>
    </xf>
    <xf numFmtId="0" fontId="0" fillId="0" borderId="2" xfId="0" applyBorder="1" applyAlignment="1">
      <alignment horizontal="left" wrapText="1"/>
    </xf>
    <xf numFmtId="0" fontId="4" fillId="0" borderId="7" xfId="0" applyFont="1" applyBorder="1" applyAlignment="1">
      <alignment horizontal="left" vertical="top" wrapText="1"/>
    </xf>
    <xf numFmtId="0" fontId="4" fillId="0" borderId="3" xfId="0" applyFont="1" applyBorder="1" applyAlignment="1">
      <alignment horizontal="left" vertical="top" wrapText="1"/>
    </xf>
    <xf numFmtId="0" fontId="4" fillId="0" borderId="5" xfId="0" applyFont="1" applyBorder="1" applyAlignment="1">
      <alignment horizontal="left" vertical="top" wrapText="1"/>
    </xf>
    <xf numFmtId="0" fontId="4" fillId="0" borderId="0" xfId="0" applyFont="1" applyBorder="1" applyAlignment="1">
      <alignment horizontal="center"/>
    </xf>
    <xf numFmtId="0" fontId="0" fillId="0" borderId="0" xfId="0" applyBorder="1" applyAlignment="1">
      <alignment horizontal="center"/>
    </xf>
    <xf numFmtId="49" fontId="4" fillId="0" borderId="2" xfId="0" applyNumberFormat="1" applyFont="1" applyFill="1" applyBorder="1" applyAlignment="1" applyProtection="1">
      <alignment horizontal="left" wrapText="1"/>
      <protection hidden="1"/>
    </xf>
    <xf numFmtId="0" fontId="4" fillId="0" borderId="2" xfId="0" applyFont="1" applyFill="1" applyBorder="1" applyAlignment="1" applyProtection="1">
      <alignment horizontal="left" wrapText="1"/>
      <protection hidden="1"/>
    </xf>
    <xf numFmtId="0" fontId="4" fillId="41" borderId="0" xfId="0" applyFont="1" applyFill="1" applyBorder="1" applyAlignment="1" applyProtection="1">
      <alignment horizontal="left" wrapText="1"/>
      <protection hidden="1"/>
    </xf>
    <xf numFmtId="0" fontId="4" fillId="44" borderId="2" xfId="0" applyFont="1" applyFill="1" applyBorder="1" applyAlignment="1" applyProtection="1">
      <alignment horizontal="left" wrapText="1"/>
      <protection hidden="1"/>
    </xf>
    <xf numFmtId="0" fontId="4" fillId="0" borderId="2" xfId="0" applyFont="1" applyFill="1" applyBorder="1" applyAlignment="1" applyProtection="1">
      <protection hidden="1"/>
    </xf>
    <xf numFmtId="4" fontId="4" fillId="0" borderId="2" xfId="0" applyNumberFormat="1" applyFont="1" applyFill="1" applyBorder="1" applyAlignment="1" applyProtection="1">
      <protection hidden="1"/>
    </xf>
    <xf numFmtId="0" fontId="12" fillId="42" borderId="72" xfId="0" applyFont="1" applyFill="1" applyBorder="1" applyAlignment="1" applyProtection="1">
      <alignment horizontal="left" wrapText="1"/>
      <protection hidden="1"/>
    </xf>
    <xf numFmtId="0" fontId="12" fillId="42" borderId="31" xfId="0" applyFont="1" applyFill="1" applyBorder="1" applyAlignment="1" applyProtection="1">
      <alignment horizontal="left" wrapText="1"/>
      <protection hidden="1"/>
    </xf>
    <xf numFmtId="0" fontId="4" fillId="42" borderId="3" xfId="0" applyFont="1" applyFill="1" applyBorder="1" applyAlignment="1" applyProtection="1">
      <alignment horizontal="center" wrapText="1"/>
      <protection hidden="1"/>
    </xf>
    <xf numFmtId="0" fontId="4" fillId="42" borderId="5" xfId="0" applyFont="1" applyFill="1" applyBorder="1" applyAlignment="1" applyProtection="1">
      <alignment horizontal="center" wrapText="1"/>
      <protection hidden="1"/>
    </xf>
    <xf numFmtId="0" fontId="12" fillId="42" borderId="2" xfId="0" applyFont="1" applyFill="1" applyBorder="1" applyAlignment="1" applyProtection="1">
      <alignment horizontal="left" wrapText="1"/>
      <protection hidden="1"/>
    </xf>
    <xf numFmtId="0" fontId="4" fillId="45" borderId="2" xfId="0" applyFont="1" applyFill="1" applyBorder="1" applyAlignment="1" applyProtection="1">
      <alignment horizontal="left" wrapText="1"/>
      <protection hidden="1"/>
    </xf>
    <xf numFmtId="0" fontId="12" fillId="42" borderId="17" xfId="0" applyFont="1" applyFill="1" applyBorder="1" applyAlignment="1" applyProtection="1">
      <alignment horizontal="left" wrapText="1"/>
      <protection hidden="1"/>
    </xf>
    <xf numFmtId="0" fontId="12" fillId="42" borderId="0" xfId="0" applyFont="1" applyFill="1" applyBorder="1" applyAlignment="1" applyProtection="1">
      <alignment horizontal="left" wrapText="1"/>
      <protection hidden="1"/>
    </xf>
    <xf numFmtId="4" fontId="4" fillId="42" borderId="2" xfId="0" applyNumberFormat="1" applyFont="1" applyFill="1" applyBorder="1" applyAlignment="1" applyProtection="1">
      <alignment horizontal="center" wrapText="1"/>
      <protection hidden="1"/>
    </xf>
    <xf numFmtId="4" fontId="4" fillId="42" borderId="2" xfId="0" applyNumberFormat="1" applyFont="1" applyFill="1" applyBorder="1" applyAlignment="1" applyProtection="1">
      <alignment horizontal="center"/>
      <protection hidden="1"/>
    </xf>
    <xf numFmtId="4" fontId="4" fillId="42" borderId="7" xfId="0" applyNumberFormat="1" applyFont="1" applyFill="1" applyBorder="1" applyAlignment="1" applyProtection="1">
      <alignment horizontal="center" wrapText="1"/>
      <protection hidden="1"/>
    </xf>
    <xf numFmtId="4" fontId="4" fillId="42" borderId="5" xfId="0" applyNumberFormat="1" applyFont="1" applyFill="1" applyBorder="1" applyAlignment="1" applyProtection="1">
      <alignment horizontal="center" wrapText="1"/>
      <protection hidden="1"/>
    </xf>
    <xf numFmtId="0" fontId="4" fillId="44" borderId="20" xfId="0" applyFont="1" applyFill="1" applyBorder="1" applyAlignment="1" applyProtection="1">
      <alignment horizontal="center" vertical="center"/>
      <protection hidden="1"/>
    </xf>
    <xf numFmtId="0" fontId="4" fillId="44" borderId="28" xfId="0" applyFont="1" applyFill="1" applyBorder="1" applyAlignment="1" applyProtection="1">
      <alignment horizontal="center" vertical="center"/>
      <protection hidden="1"/>
    </xf>
    <xf numFmtId="0" fontId="4" fillId="44" borderId="1" xfId="0" applyFont="1" applyFill="1" applyBorder="1" applyAlignment="1" applyProtection="1">
      <alignment horizontal="center" vertical="center"/>
      <protection hidden="1"/>
    </xf>
    <xf numFmtId="4" fontId="4" fillId="42" borderId="3"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protection hidden="1"/>
    </xf>
    <xf numFmtId="0" fontId="12" fillId="42" borderId="32" xfId="0" applyFont="1" applyFill="1" applyBorder="1" applyAlignment="1" applyProtection="1">
      <alignment horizontal="left" wrapText="1"/>
      <protection hidden="1"/>
    </xf>
    <xf numFmtId="0" fontId="12" fillId="42" borderId="21" xfId="0" applyFont="1" applyFill="1" applyBorder="1" applyAlignment="1" applyProtection="1">
      <alignment horizontal="left" wrapText="1"/>
      <protection hidden="1"/>
    </xf>
    <xf numFmtId="0" fontId="12" fillId="42" borderId="29" xfId="0" applyFont="1" applyFill="1" applyBorder="1" applyAlignment="1" applyProtection="1">
      <alignment horizontal="left" wrapText="1"/>
      <protection hidden="1"/>
    </xf>
    <xf numFmtId="0" fontId="12" fillId="42" borderId="25" xfId="0" applyFont="1" applyFill="1" applyBorder="1" applyAlignment="1" applyProtection="1">
      <alignment horizontal="left" wrapText="1"/>
      <protection hidden="1"/>
    </xf>
    <xf numFmtId="170" fontId="12" fillId="42" borderId="21" xfId="0" applyNumberFormat="1" applyFont="1" applyFill="1" applyBorder="1" applyAlignment="1" applyProtection="1">
      <alignment horizontal="left" wrapText="1"/>
      <protection hidden="1"/>
    </xf>
    <xf numFmtId="170" fontId="12" fillId="42" borderId="29" xfId="0" applyNumberFormat="1" applyFont="1" applyFill="1" applyBorder="1" applyAlignment="1" applyProtection="1">
      <alignment horizontal="left" wrapText="1"/>
      <protection hidden="1"/>
    </xf>
    <xf numFmtId="170" fontId="12" fillId="42" borderId="25" xfId="0" applyNumberFormat="1" applyFont="1" applyFill="1" applyBorder="1" applyAlignment="1" applyProtection="1">
      <alignment horizontal="left" wrapText="1"/>
      <protection hidden="1"/>
    </xf>
    <xf numFmtId="4" fontId="4" fillId="42" borderId="7" xfId="0" applyNumberFormat="1" applyFont="1" applyFill="1" applyBorder="1" applyAlignment="1" applyProtection="1">
      <alignment horizontal="center"/>
      <protection hidden="1"/>
    </xf>
    <xf numFmtId="4" fontId="4" fillId="42" borderId="20" xfId="0" applyNumberFormat="1" applyFont="1" applyFill="1" applyBorder="1" applyAlignment="1" applyProtection="1">
      <alignment horizontal="center"/>
      <protection hidden="1"/>
    </xf>
    <xf numFmtId="4" fontId="4" fillId="42" borderId="28" xfId="0" applyNumberFormat="1" applyFont="1" applyFill="1" applyBorder="1" applyAlignment="1" applyProtection="1">
      <alignment horizontal="center"/>
      <protection hidden="1"/>
    </xf>
    <xf numFmtId="0" fontId="12" fillId="42" borderId="4" xfId="0" applyFont="1" applyFill="1" applyBorder="1" applyAlignment="1" applyProtection="1">
      <alignment horizontal="left" wrapText="1"/>
      <protection hidden="1"/>
    </xf>
    <xf numFmtId="170" fontId="12" fillId="42" borderId="0" xfId="0" applyNumberFormat="1" applyFont="1" applyFill="1" applyBorder="1" applyAlignment="1" applyProtection="1">
      <alignment horizontal="left" wrapText="1"/>
      <protection hidden="1"/>
    </xf>
    <xf numFmtId="170" fontId="12" fillId="42" borderId="4" xfId="0" applyNumberFormat="1" applyFont="1" applyFill="1" applyBorder="1" applyAlignment="1" applyProtection="1">
      <alignment horizontal="left" wrapText="1"/>
      <protection hidden="1"/>
    </xf>
    <xf numFmtId="4" fontId="14" fillId="42" borderId="72" xfId="49" applyNumberFormat="1" applyFill="1" applyBorder="1" applyAlignment="1" applyProtection="1">
      <alignment horizontal="center"/>
      <protection hidden="1"/>
    </xf>
    <xf numFmtId="4" fontId="14" fillId="42" borderId="31" xfId="49" applyNumberFormat="1" applyFill="1" applyBorder="1" applyAlignment="1" applyProtection="1">
      <alignment horizontal="center"/>
      <protection hidden="1"/>
    </xf>
    <xf numFmtId="4" fontId="14" fillId="42" borderId="32" xfId="49" applyNumberFormat="1" applyFill="1" applyBorder="1" applyAlignment="1" applyProtection="1">
      <alignment horizontal="center"/>
      <protection hidden="1"/>
    </xf>
    <xf numFmtId="4" fontId="14" fillId="42" borderId="17" xfId="49" applyNumberFormat="1" applyFill="1" applyBorder="1" applyAlignment="1" applyProtection="1">
      <alignment horizontal="center"/>
      <protection hidden="1"/>
    </xf>
    <xf numFmtId="4" fontId="14" fillId="42" borderId="0" xfId="49" applyNumberFormat="1" applyFill="1" applyBorder="1" applyAlignment="1" applyProtection="1">
      <alignment horizontal="center"/>
      <protection hidden="1"/>
    </xf>
    <xf numFmtId="4" fontId="14" fillId="42" borderId="4" xfId="49" applyNumberFormat="1" applyFill="1" applyBorder="1" applyAlignment="1" applyProtection="1">
      <alignment horizontal="center"/>
      <protection hidden="1"/>
    </xf>
    <xf numFmtId="4" fontId="14" fillId="42" borderId="21" xfId="49" applyNumberFormat="1" applyFill="1" applyBorder="1" applyAlignment="1" applyProtection="1">
      <alignment horizontal="center"/>
      <protection hidden="1"/>
    </xf>
    <xf numFmtId="4" fontId="14" fillId="42" borderId="29" xfId="49" applyNumberFormat="1" applyFill="1" applyBorder="1" applyAlignment="1" applyProtection="1">
      <alignment horizontal="center"/>
      <protection hidden="1"/>
    </xf>
    <xf numFmtId="4" fontId="14" fillId="42" borderId="25" xfId="49" applyNumberFormat="1" applyFill="1" applyBorder="1" applyAlignment="1" applyProtection="1">
      <alignment horizontal="center"/>
      <protection hidden="1"/>
    </xf>
    <xf numFmtId="4" fontId="4" fillId="42" borderId="21" xfId="0" applyNumberFormat="1" applyFont="1" applyFill="1" applyBorder="1" applyAlignment="1" applyProtection="1">
      <alignment horizontal="center"/>
      <protection hidden="1"/>
    </xf>
    <xf numFmtId="4" fontId="4" fillId="42" borderId="29" xfId="0" applyNumberFormat="1" applyFont="1" applyFill="1" applyBorder="1" applyAlignment="1" applyProtection="1">
      <alignment horizontal="center"/>
      <protection hidden="1"/>
    </xf>
    <xf numFmtId="0" fontId="14" fillId="0" borderId="17" xfId="49" applyFill="1" applyBorder="1" applyAlignment="1" applyProtection="1">
      <alignment horizontal="left"/>
      <protection hidden="1"/>
    </xf>
    <xf numFmtId="0" fontId="14" fillId="0" borderId="0" xfId="49" applyFill="1" applyBorder="1" applyAlignment="1" applyProtection="1">
      <alignment horizontal="left"/>
      <protection hidden="1"/>
    </xf>
    <xf numFmtId="0" fontId="14" fillId="0" borderId="4" xfId="49" applyFill="1" applyBorder="1" applyAlignment="1" applyProtection="1">
      <alignment horizontal="left"/>
      <protection hidden="1"/>
    </xf>
    <xf numFmtId="0" fontId="4" fillId="0" borderId="21" xfId="0" applyFont="1" applyFill="1" applyBorder="1" applyAlignment="1" applyProtection="1">
      <alignment horizontal="left" vertical="center"/>
      <protection hidden="1"/>
    </xf>
    <xf numFmtId="0" fontId="4" fillId="0" borderId="29" xfId="0" applyFont="1" applyFill="1" applyBorder="1" applyAlignment="1" applyProtection="1">
      <alignment horizontal="left" vertical="center"/>
      <protection hidden="1"/>
    </xf>
    <xf numFmtId="0" fontId="4" fillId="0" borderId="25" xfId="0" applyFont="1" applyFill="1" applyBorder="1" applyAlignment="1" applyProtection="1">
      <alignment horizontal="left" vertical="center"/>
      <protection hidden="1"/>
    </xf>
    <xf numFmtId="170" fontId="12" fillId="42" borderId="17" xfId="0" applyNumberFormat="1" applyFont="1" applyFill="1" applyBorder="1" applyAlignment="1" applyProtection="1">
      <alignment horizontal="left" wrapText="1"/>
      <protection hidden="1"/>
    </xf>
    <xf numFmtId="0" fontId="4" fillId="0" borderId="17" xfId="0" applyFont="1" applyFill="1" applyBorder="1" applyAlignment="1" applyProtection="1">
      <alignment horizontal="left" vertical="center"/>
      <protection hidden="1"/>
    </xf>
    <xf numFmtId="0" fontId="4" fillId="0" borderId="0" xfId="0" applyFont="1" applyFill="1" applyBorder="1" applyAlignment="1" applyProtection="1">
      <alignment horizontal="left" vertical="center"/>
      <protection hidden="1"/>
    </xf>
    <xf numFmtId="0" fontId="4" fillId="0" borderId="4" xfId="0" applyFont="1" applyFill="1" applyBorder="1" applyAlignment="1" applyProtection="1">
      <alignment horizontal="left" vertical="center"/>
      <protection hidden="1"/>
    </xf>
    <xf numFmtId="0" fontId="4" fillId="0" borderId="72" xfId="0" applyFont="1" applyFill="1" applyBorder="1" applyAlignment="1" applyProtection="1">
      <alignment horizontal="left" vertical="center" wrapText="1"/>
      <protection hidden="1"/>
    </xf>
    <xf numFmtId="0" fontId="4" fillId="0" borderId="31" xfId="0" applyFont="1" applyFill="1" applyBorder="1" applyAlignment="1" applyProtection="1">
      <alignment horizontal="left" vertical="center" wrapText="1"/>
      <protection hidden="1"/>
    </xf>
    <xf numFmtId="0" fontId="4" fillId="0" borderId="32" xfId="0" applyFont="1" applyFill="1" applyBorder="1" applyAlignment="1" applyProtection="1">
      <alignment horizontal="left" vertical="center" wrapText="1"/>
      <protection hidden="1"/>
    </xf>
    <xf numFmtId="0" fontId="4" fillId="0" borderId="17" xfId="0" applyFont="1" applyFill="1" applyBorder="1" applyAlignment="1" applyProtection="1">
      <alignment horizontal="left" vertical="center" wrapText="1"/>
      <protection hidden="1"/>
    </xf>
    <xf numFmtId="0" fontId="4" fillId="0" borderId="0" xfId="0" applyFont="1" applyFill="1" applyBorder="1" applyAlignment="1" applyProtection="1">
      <alignment horizontal="left" vertical="center" wrapText="1"/>
      <protection hidden="1"/>
    </xf>
    <xf numFmtId="0" fontId="4" fillId="0" borderId="4" xfId="0" applyFont="1" applyFill="1" applyBorder="1" applyAlignment="1" applyProtection="1">
      <alignment horizontal="left" vertical="center" wrapText="1"/>
      <protection hidden="1"/>
    </xf>
    <xf numFmtId="169" fontId="57" fillId="42" borderId="23" xfId="0" applyNumberFormat="1" applyFont="1" applyFill="1" applyBorder="1" applyAlignment="1" applyProtection="1">
      <alignment horizontal="left"/>
      <protection hidden="1"/>
    </xf>
    <xf numFmtId="169" fontId="57" fillId="42" borderId="16" xfId="0" applyNumberFormat="1" applyFont="1" applyFill="1" applyBorder="1" applyAlignment="1" applyProtection="1">
      <alignment horizontal="left"/>
      <protection hidden="1"/>
    </xf>
    <xf numFmtId="170" fontId="57" fillId="42" borderId="16" xfId="0" applyNumberFormat="1" applyFont="1" applyFill="1" applyBorder="1" applyAlignment="1" applyProtection="1">
      <alignment horizontal="left" wrapText="1"/>
      <protection hidden="1"/>
    </xf>
    <xf numFmtId="0" fontId="15" fillId="34" borderId="15" xfId="0" applyFont="1" applyFill="1" applyBorder="1" applyAlignment="1" applyProtection="1">
      <alignment horizontal="center" vertical="center" wrapText="1"/>
      <protection hidden="1"/>
    </xf>
    <xf numFmtId="0" fontId="15" fillId="34" borderId="24" xfId="0" applyFont="1" applyFill="1" applyBorder="1" applyAlignment="1" applyProtection="1">
      <alignment horizontal="center" vertical="center" wrapText="1"/>
      <protection hidden="1"/>
    </xf>
    <xf numFmtId="0" fontId="59" fillId="0" borderId="23" xfId="0" applyFont="1" applyFill="1" applyBorder="1" applyAlignment="1" applyProtection="1">
      <alignment horizontal="left" vertical="center" wrapText="1"/>
      <protection hidden="1"/>
    </xf>
    <xf numFmtId="0" fontId="59" fillId="0" borderId="76" xfId="0" applyFont="1" applyFill="1" applyBorder="1" applyAlignment="1" applyProtection="1">
      <alignment horizontal="left" vertical="center" wrapText="1"/>
      <protection hidden="1"/>
    </xf>
    <xf numFmtId="0" fontId="59" fillId="0" borderId="0" xfId="0" applyFont="1" applyFill="1" applyBorder="1" applyAlignment="1" applyProtection="1">
      <alignment horizontal="left" vertical="center" wrapText="1"/>
      <protection hidden="1"/>
    </xf>
    <xf numFmtId="0" fontId="52" fillId="42" borderId="6" xfId="0" applyFont="1" applyFill="1" applyBorder="1" applyAlignment="1" applyProtection="1">
      <alignment horizontal="center" vertical="center" wrapText="1"/>
      <protection hidden="1"/>
    </xf>
    <xf numFmtId="0" fontId="52" fillId="42" borderId="27" xfId="0" applyFont="1" applyFill="1" applyBorder="1" applyAlignment="1" applyProtection="1">
      <alignment horizontal="center" vertical="center" wrapText="1"/>
      <protection hidden="1"/>
    </xf>
    <xf numFmtId="0" fontId="52" fillId="42" borderId="18" xfId="0" applyFont="1" applyFill="1" applyBorder="1" applyAlignment="1" applyProtection="1">
      <alignment horizontal="center" vertical="center" wrapText="1"/>
      <protection hidden="1"/>
    </xf>
    <xf numFmtId="4" fontId="21" fillId="0" borderId="23" xfId="0" applyNumberFormat="1" applyFont="1" applyFill="1" applyBorder="1" applyAlignment="1" applyProtection="1">
      <alignment horizontal="center" vertical="center" wrapText="1"/>
      <protection hidden="1"/>
    </xf>
    <xf numFmtId="4" fontId="21" fillId="0" borderId="16" xfId="0" applyNumberFormat="1" applyFont="1" applyFill="1" applyBorder="1" applyAlignment="1" applyProtection="1">
      <alignment horizontal="center" vertical="center" wrapText="1"/>
      <protection hidden="1"/>
    </xf>
    <xf numFmtId="4" fontId="21" fillId="0" borderId="26" xfId="0" applyNumberFormat="1" applyFont="1" applyFill="1" applyBorder="1" applyAlignment="1" applyProtection="1">
      <alignment horizontal="center" vertical="center" wrapText="1"/>
      <protection hidden="1"/>
    </xf>
    <xf numFmtId="0" fontId="52" fillId="42" borderId="23" xfId="0" applyFont="1" applyFill="1" applyBorder="1" applyAlignment="1" applyProtection="1">
      <alignment horizontal="center" vertical="center" wrapText="1"/>
      <protection hidden="1"/>
    </xf>
    <xf numFmtId="0" fontId="52" fillId="42" borderId="16" xfId="0" applyFont="1" applyFill="1" applyBorder="1" applyAlignment="1" applyProtection="1">
      <alignment horizontal="center" vertical="center" wrapText="1"/>
      <protection hidden="1"/>
    </xf>
    <xf numFmtId="0" fontId="52" fillId="42" borderId="26" xfId="0" applyFont="1" applyFill="1" applyBorder="1" applyAlignment="1" applyProtection="1">
      <alignment horizontal="center" vertical="center" wrapText="1"/>
      <protection hidden="1"/>
    </xf>
    <xf numFmtId="4" fontId="4" fillId="34" borderId="4" xfId="0" applyNumberFormat="1" applyFont="1" applyFill="1" applyBorder="1" applyAlignment="1" applyProtection="1">
      <alignment horizontal="center" vertical="top" wrapText="1"/>
      <protection hidden="1"/>
    </xf>
    <xf numFmtId="4" fontId="7" fillId="34" borderId="4" xfId="0" applyNumberFormat="1" applyFont="1" applyFill="1" applyBorder="1" applyAlignment="1" applyProtection="1">
      <alignment horizontal="center" vertical="top" wrapText="1"/>
      <protection hidden="1"/>
    </xf>
    <xf numFmtId="0" fontId="21" fillId="45" borderId="20" xfId="0" applyFont="1" applyFill="1" applyBorder="1" applyAlignment="1" applyProtection="1">
      <alignment horizontal="center"/>
      <protection hidden="1"/>
    </xf>
    <xf numFmtId="0" fontId="21" fillId="45" borderId="28" xfId="0" applyFont="1" applyFill="1" applyBorder="1" applyAlignment="1" applyProtection="1">
      <alignment horizontal="center"/>
      <protection hidden="1"/>
    </xf>
    <xf numFmtId="0" fontId="21" fillId="45" borderId="1" xfId="0" applyFont="1" applyFill="1" applyBorder="1" applyAlignment="1" applyProtection="1">
      <alignment horizontal="center"/>
      <protection hidden="1"/>
    </xf>
    <xf numFmtId="0" fontId="12" fillId="40" borderId="20" xfId="53" applyFont="1" applyFill="1" applyBorder="1" applyAlignment="1" applyProtection="1">
      <alignment horizontal="center"/>
      <protection hidden="1"/>
    </xf>
    <xf numFmtId="0" fontId="12" fillId="40" borderId="1" xfId="53" applyFont="1" applyFill="1" applyBorder="1" applyAlignment="1" applyProtection="1">
      <alignment horizontal="center"/>
      <protection hidden="1"/>
    </xf>
    <xf numFmtId="0" fontId="12" fillId="40" borderId="20" xfId="0" applyFont="1" applyFill="1" applyBorder="1" applyAlignment="1" applyProtection="1">
      <alignment horizontal="center"/>
      <protection hidden="1"/>
    </xf>
    <xf numFmtId="0" fontId="12" fillId="40" borderId="28" xfId="0" applyFont="1" applyFill="1" applyBorder="1" applyAlignment="1" applyProtection="1">
      <alignment horizontal="center"/>
      <protection hidden="1"/>
    </xf>
    <xf numFmtId="0" fontId="12" fillId="40" borderId="1" xfId="0" applyFont="1" applyFill="1" applyBorder="1" applyAlignment="1" applyProtection="1">
      <alignment horizontal="center"/>
      <protection hidden="1"/>
    </xf>
    <xf numFmtId="0" fontId="12" fillId="42" borderId="2" xfId="53" applyFont="1" applyFill="1" applyBorder="1" applyAlignment="1" applyProtection="1">
      <alignment horizontal="center"/>
      <protection hidden="1"/>
    </xf>
    <xf numFmtId="0" fontId="12" fillId="42" borderId="2" xfId="0" applyFont="1" applyFill="1" applyBorder="1" applyAlignment="1" applyProtection="1">
      <alignment horizontal="center"/>
      <protection hidden="1"/>
    </xf>
    <xf numFmtId="0" fontId="21" fillId="42" borderId="20" xfId="0" applyFont="1" applyFill="1" applyBorder="1" applyAlignment="1" applyProtection="1">
      <alignment horizontal="left"/>
      <protection hidden="1"/>
    </xf>
    <xf numFmtId="0" fontId="21" fillId="42" borderId="28" xfId="0" applyFont="1" applyFill="1" applyBorder="1" applyAlignment="1" applyProtection="1">
      <alignment horizontal="left"/>
      <protection hidden="1"/>
    </xf>
    <xf numFmtId="170" fontId="21" fillId="42" borderId="28" xfId="0" applyNumberFormat="1" applyFont="1" applyFill="1" applyBorder="1" applyAlignment="1" applyProtection="1">
      <alignment horizontal="left"/>
      <protection hidden="1"/>
    </xf>
    <xf numFmtId="0" fontId="12" fillId="0" borderId="20" xfId="0" applyFont="1" applyFill="1" applyBorder="1" applyAlignment="1" applyProtection="1">
      <alignment horizontal="left"/>
      <protection hidden="1"/>
    </xf>
    <xf numFmtId="0" fontId="12" fillId="0" borderId="28" xfId="0" applyFont="1" applyFill="1" applyBorder="1" applyAlignment="1" applyProtection="1">
      <alignment horizontal="left"/>
      <protection hidden="1"/>
    </xf>
    <xf numFmtId="0" fontId="12" fillId="0" borderId="1" xfId="0" applyFont="1" applyFill="1" applyBorder="1" applyAlignment="1" applyProtection="1">
      <alignment horizontal="left"/>
      <protection hidden="1"/>
    </xf>
  </cellXfs>
  <cellStyles count="139">
    <cellStyle name="20% - Accent1" xfId="1" builtinId="30" customBuiltin="1"/>
    <cellStyle name="20% - Accent1 2" xfId="70" xr:uid="{00000000-0005-0000-0000-000001000000}"/>
    <cellStyle name="20% - Accent1 3" xfId="107" xr:uid="{00000000-0005-0000-0000-000002000000}"/>
    <cellStyle name="20% - Accent1 4" xfId="125" xr:uid="{00000000-0005-0000-0000-000003000000}"/>
    <cellStyle name="20% - Accent2" xfId="2" builtinId="34" customBuiltin="1"/>
    <cellStyle name="20% - Accent2 2" xfId="71" xr:uid="{00000000-0005-0000-0000-000005000000}"/>
    <cellStyle name="20% - Accent2 3" xfId="108" xr:uid="{00000000-0005-0000-0000-000006000000}"/>
    <cellStyle name="20% - Accent2 4" xfId="127" xr:uid="{00000000-0005-0000-0000-000007000000}"/>
    <cellStyle name="20% - Accent3" xfId="3" builtinId="38" customBuiltin="1"/>
    <cellStyle name="20% - Accent3 2" xfId="72" xr:uid="{00000000-0005-0000-0000-000009000000}"/>
    <cellStyle name="20% - Accent3 3" xfId="109" xr:uid="{00000000-0005-0000-0000-00000A000000}"/>
    <cellStyle name="20% - Accent3 4" xfId="129" xr:uid="{00000000-0005-0000-0000-00000B000000}"/>
    <cellStyle name="20% - Accent4" xfId="4" builtinId="42" customBuiltin="1"/>
    <cellStyle name="20% - Accent4 2" xfId="73" xr:uid="{00000000-0005-0000-0000-00000D000000}"/>
    <cellStyle name="20% - Accent4 3" xfId="110" xr:uid="{00000000-0005-0000-0000-00000E000000}"/>
    <cellStyle name="20% - Accent4 4" xfId="131" xr:uid="{00000000-0005-0000-0000-00000F000000}"/>
    <cellStyle name="20% - Accent5" xfId="5" builtinId="46" customBuiltin="1"/>
    <cellStyle name="20% - Accent5 2" xfId="74" xr:uid="{00000000-0005-0000-0000-000011000000}"/>
    <cellStyle name="20% - Accent5 3" xfId="111" xr:uid="{00000000-0005-0000-0000-000012000000}"/>
    <cellStyle name="20% - Accent5 4" xfId="133" xr:uid="{00000000-0005-0000-0000-000013000000}"/>
    <cellStyle name="20% - Accent6" xfId="6" builtinId="50" customBuiltin="1"/>
    <cellStyle name="20% - Accent6 2" xfId="75" xr:uid="{00000000-0005-0000-0000-000015000000}"/>
    <cellStyle name="20% - Accent6 3" xfId="112" xr:uid="{00000000-0005-0000-0000-000016000000}"/>
    <cellStyle name="20% - Accent6 4" xfId="135" xr:uid="{00000000-0005-0000-0000-000017000000}"/>
    <cellStyle name="40% - Accent1" xfId="7" builtinId="31" customBuiltin="1"/>
    <cellStyle name="40% - Accent1 2" xfId="76" xr:uid="{00000000-0005-0000-0000-000019000000}"/>
    <cellStyle name="40% - Accent1 3" xfId="113" xr:uid="{00000000-0005-0000-0000-00001A000000}"/>
    <cellStyle name="40% - Accent1 4" xfId="126" xr:uid="{00000000-0005-0000-0000-00001B000000}"/>
    <cellStyle name="40% - Accent2" xfId="8" builtinId="35" customBuiltin="1"/>
    <cellStyle name="40% - Accent2 2" xfId="77" xr:uid="{00000000-0005-0000-0000-00001D000000}"/>
    <cellStyle name="40% - Accent2 3" xfId="114" xr:uid="{00000000-0005-0000-0000-00001E000000}"/>
    <cellStyle name="40% - Accent2 4" xfId="128" xr:uid="{00000000-0005-0000-0000-00001F000000}"/>
    <cellStyle name="40% - Accent3" xfId="9" builtinId="39" customBuiltin="1"/>
    <cellStyle name="40% - Accent3 2" xfId="78" xr:uid="{00000000-0005-0000-0000-000021000000}"/>
    <cellStyle name="40% - Accent3 3" xfId="115" xr:uid="{00000000-0005-0000-0000-000022000000}"/>
    <cellStyle name="40% - Accent3 4" xfId="130" xr:uid="{00000000-0005-0000-0000-000023000000}"/>
    <cellStyle name="40% - Accent4" xfId="10" builtinId="43" customBuiltin="1"/>
    <cellStyle name="40% - Accent4 2" xfId="79" xr:uid="{00000000-0005-0000-0000-000025000000}"/>
    <cellStyle name="40% - Accent4 3" xfId="116" xr:uid="{00000000-0005-0000-0000-000026000000}"/>
    <cellStyle name="40% - Accent4 4" xfId="132" xr:uid="{00000000-0005-0000-0000-000027000000}"/>
    <cellStyle name="40% - Accent5" xfId="11" builtinId="47" customBuiltin="1"/>
    <cellStyle name="40% - Accent5 2" xfId="80" xr:uid="{00000000-0005-0000-0000-000029000000}"/>
    <cellStyle name="40% - Accent5 3" xfId="117" xr:uid="{00000000-0005-0000-0000-00002A000000}"/>
    <cellStyle name="40% - Accent5 4" xfId="134" xr:uid="{00000000-0005-0000-0000-00002B000000}"/>
    <cellStyle name="40% - Accent6" xfId="12" builtinId="51" customBuiltin="1"/>
    <cellStyle name="40% - Accent6 2" xfId="81" xr:uid="{00000000-0005-0000-0000-00002D000000}"/>
    <cellStyle name="40% - Accent6 3" xfId="118" xr:uid="{00000000-0005-0000-0000-00002E000000}"/>
    <cellStyle name="40% - Accent6 4" xfId="136" xr:uid="{00000000-0005-0000-0000-00002F000000}"/>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xr:uid="{00000000-0005-0000-0000-000040000000}"/>
    <cellStyle name="Comma 2 2" xfId="30" xr:uid="{00000000-0005-0000-0000-000041000000}"/>
    <cellStyle name="Comma 2 2 2" xfId="83" xr:uid="{00000000-0005-0000-0000-000042000000}"/>
    <cellStyle name="Comma 2 3" xfId="31" xr:uid="{00000000-0005-0000-0000-000043000000}"/>
    <cellStyle name="Comma 2 3 2" xfId="84" xr:uid="{00000000-0005-0000-0000-000044000000}"/>
    <cellStyle name="Comma 2 4" xfId="82" xr:uid="{00000000-0005-0000-0000-000045000000}"/>
    <cellStyle name="Comma 3" xfId="32" xr:uid="{00000000-0005-0000-0000-000046000000}"/>
    <cellStyle name="Comma 3 2" xfId="33" xr:uid="{00000000-0005-0000-0000-000047000000}"/>
    <cellStyle name="Comma 3 2 2" xfId="86" xr:uid="{00000000-0005-0000-0000-000048000000}"/>
    <cellStyle name="Comma 3 3" xfId="85" xr:uid="{00000000-0005-0000-0000-000049000000}"/>
    <cellStyle name="Comma 4" xfId="34" xr:uid="{00000000-0005-0000-0000-00004A000000}"/>
    <cellStyle name="Comma 4 2" xfId="87" xr:uid="{00000000-0005-0000-0000-00004B000000}"/>
    <cellStyle name="Comma 5" xfId="35" xr:uid="{00000000-0005-0000-0000-00004C000000}"/>
    <cellStyle name="Comma 5 2" xfId="88" xr:uid="{00000000-0005-0000-0000-00004D000000}"/>
    <cellStyle name="Comma 6" xfId="36" xr:uid="{00000000-0005-0000-0000-00004E000000}"/>
    <cellStyle name="Comma 6 2" xfId="89" xr:uid="{00000000-0005-0000-0000-00004F000000}"/>
    <cellStyle name="Comma 7" xfId="37" xr:uid="{00000000-0005-0000-0000-000050000000}"/>
    <cellStyle name="Comma 7 2" xfId="90" xr:uid="{00000000-0005-0000-0000-000051000000}"/>
    <cellStyle name="Comma 8" xfId="38" xr:uid="{00000000-0005-0000-0000-000052000000}"/>
    <cellStyle name="Comma 8 2" xfId="91" xr:uid="{00000000-0005-0000-0000-000053000000}"/>
    <cellStyle name="Comma 8 3" xfId="119" xr:uid="{00000000-0005-0000-0000-000054000000}"/>
    <cellStyle name="Currency 2" xfId="39" xr:uid="{00000000-0005-0000-0000-000055000000}"/>
    <cellStyle name="Currency 2 2" xfId="40" xr:uid="{00000000-0005-0000-0000-000056000000}"/>
    <cellStyle name="Currency 2 2 2" xfId="93" xr:uid="{00000000-0005-0000-0000-000057000000}"/>
    <cellStyle name="Currency 2 3" xfId="92" xr:uid="{00000000-0005-0000-0000-000058000000}"/>
    <cellStyle name="Currency 3" xfId="41" xr:uid="{00000000-0005-0000-0000-000059000000}"/>
    <cellStyle name="Currency 3 2" xfId="42" xr:uid="{00000000-0005-0000-0000-00005A000000}"/>
    <cellStyle name="Currency 3 2 2" xfId="95" xr:uid="{00000000-0005-0000-0000-00005B000000}"/>
    <cellStyle name="Currency 3 3" xfId="94" xr:uid="{00000000-0005-0000-0000-00005C000000}"/>
    <cellStyle name="Explanatory Text" xfId="43" builtinId="53" customBuiltin="1"/>
    <cellStyle name="Followed Hyperlink" xfId="138" builtinId="9" customBuiltin="1"/>
    <cellStyle name="Good" xfId="44" builtinId="26" customBuiltin="1"/>
    <cellStyle name="Heading 1" xfId="45" builtinId="16" customBuiltin="1"/>
    <cellStyle name="Heading 2" xfId="46" builtinId="17" customBuiltin="1"/>
    <cellStyle name="Heading 3" xfId="47" builtinId="18" customBuiltin="1"/>
    <cellStyle name="Heading 4" xfId="48" builtinId="19" customBuiltin="1"/>
    <cellStyle name="Hyperlink" xfId="49" builtinId="8"/>
    <cellStyle name="Hyperlink 2" xfId="137" xr:uid="{00000000-0005-0000-0000-000065000000}"/>
    <cellStyle name="Input" xfId="50" builtinId="20" customBuiltin="1"/>
    <cellStyle name="Linked Cell" xfId="51" builtinId="24" customBuiltin="1"/>
    <cellStyle name="Neutral" xfId="52" builtinId="28" customBuiltin="1"/>
    <cellStyle name="Normal" xfId="0" builtinId="0"/>
    <cellStyle name="Normal 2" xfId="53" xr:uid="{00000000-0005-0000-0000-00006A000000}"/>
    <cellStyle name="Normal 2 2" xfId="54" xr:uid="{00000000-0005-0000-0000-00006B000000}"/>
    <cellStyle name="Normal 2 2 2" xfId="97" xr:uid="{00000000-0005-0000-0000-00006C000000}"/>
    <cellStyle name="Normal 2 2 3" xfId="120" xr:uid="{00000000-0005-0000-0000-00006D000000}"/>
    <cellStyle name="Normal 2 3" xfId="96" xr:uid="{00000000-0005-0000-0000-00006E000000}"/>
    <cellStyle name="Normal 3" xfId="55" xr:uid="{00000000-0005-0000-0000-00006F000000}"/>
    <cellStyle name="Normal 3 2" xfId="98" xr:uid="{00000000-0005-0000-0000-000070000000}"/>
    <cellStyle name="Normal 3 3" xfId="121" xr:uid="{00000000-0005-0000-0000-000071000000}"/>
    <cellStyle name="Normal 4" xfId="69" xr:uid="{00000000-0005-0000-0000-000072000000}"/>
    <cellStyle name="Normal 5" xfId="123" xr:uid="{00000000-0005-0000-0000-000073000000}"/>
    <cellStyle name="Note 2" xfId="56" xr:uid="{00000000-0005-0000-0000-000074000000}"/>
    <cellStyle name="Note 2 2" xfId="99" xr:uid="{00000000-0005-0000-0000-000075000000}"/>
    <cellStyle name="Note 2 3" xfId="122" xr:uid="{00000000-0005-0000-0000-000076000000}"/>
    <cellStyle name="Note 3" xfId="124" xr:uid="{00000000-0005-0000-0000-000077000000}"/>
    <cellStyle name="Output" xfId="57" builtinId="21" customBuiltin="1"/>
    <cellStyle name="Percent" xfId="58" builtinId="5"/>
    <cellStyle name="Percent 2" xfId="59" xr:uid="{00000000-0005-0000-0000-00007A000000}"/>
    <cellStyle name="Percent 2 2" xfId="60" xr:uid="{00000000-0005-0000-0000-00007B000000}"/>
    <cellStyle name="Percent 2 2 2" xfId="101" xr:uid="{00000000-0005-0000-0000-00007C000000}"/>
    <cellStyle name="Percent 2 3" xfId="100" xr:uid="{00000000-0005-0000-0000-00007D000000}"/>
    <cellStyle name="Percent 3" xfId="61" xr:uid="{00000000-0005-0000-0000-00007E000000}"/>
    <cellStyle name="Percent 3 2" xfId="62" xr:uid="{00000000-0005-0000-0000-00007F000000}"/>
    <cellStyle name="Percent 3 2 2" xfId="103" xr:uid="{00000000-0005-0000-0000-000080000000}"/>
    <cellStyle name="Percent 3 3" xfId="102" xr:uid="{00000000-0005-0000-0000-000081000000}"/>
    <cellStyle name="Percent 4" xfId="63" xr:uid="{00000000-0005-0000-0000-000082000000}"/>
    <cellStyle name="Percent 4 2" xfId="104" xr:uid="{00000000-0005-0000-0000-000083000000}"/>
    <cellStyle name="Percent 5" xfId="64" xr:uid="{00000000-0005-0000-0000-000084000000}"/>
    <cellStyle name="Percent 5 2" xfId="105" xr:uid="{00000000-0005-0000-0000-000085000000}"/>
    <cellStyle name="Percent 6" xfId="65" xr:uid="{00000000-0005-0000-0000-000086000000}"/>
    <cellStyle name="Percent 6 2" xfId="106" xr:uid="{00000000-0005-0000-0000-000087000000}"/>
    <cellStyle name="Title" xfId="66" builtinId="15" customBuiltin="1"/>
    <cellStyle name="Total" xfId="67" builtinId="25" customBuiltin="1"/>
    <cellStyle name="Warning Text" xfId="68" builtinId="11" customBuiltin="1"/>
  </cellStyles>
  <dxfs count="587">
    <dxf>
      <numFmt numFmtId="169" formatCode="mm/dd/yy;@"/>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ill>
        <patternFill>
          <bgColor rgb="FFFF0000"/>
        </patternFill>
      </fill>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indexed="22"/>
      </font>
    </dxf>
    <dxf>
      <font>
        <condense val="0"/>
        <extend val="0"/>
        <color indexed="22"/>
      </font>
    </dxf>
    <dxf>
      <font>
        <condense val="0"/>
        <extend val="0"/>
        <color indexed="22"/>
      </font>
    </dxf>
    <dxf>
      <font>
        <condense val="0"/>
        <extend val="0"/>
        <color indexed="22"/>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numFmt numFmtId="169" formatCode="mm/dd/yy;@"/>
    </dxf>
    <dxf>
      <numFmt numFmtId="169" formatCode="mm/dd/yy;@"/>
    </dxf>
  </dxfs>
  <tableStyles count="0" defaultTableStyle="TableStyleMedium2" defaultPivotStyle="PivotStyleLight16"/>
  <colors>
    <mruColors>
      <color rgb="FFFEF8EC"/>
      <color rgb="FFFDF4E3"/>
      <color rgb="FFFFECAF"/>
      <color rgb="FFFFE389"/>
      <color rgb="FFFDF1DB"/>
      <color rgb="FFFCEED4"/>
      <color rgb="FFFBE6C1"/>
      <color rgb="FFFFFF99"/>
      <color rgb="FFFFD653"/>
      <color rgb="FFFADFC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onnections" Target="connections.xml"/></Relationships>
</file>

<file path=xl/ctrlProps/ctrlProp1.xml><?xml version="1.0" encoding="utf-8"?>
<formControlPr xmlns="http://schemas.microsoft.com/office/spreadsheetml/2009/9/main" objectType="Radio" checked="Checked" firstButton="1" fmlaLink="Driver!$D$10"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checked="Checked" firstButton="1" fmlaLink="Driver!$D$10"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Drop" dropLines="5" dropStyle="combo" dx="16" fmlaLink="SMSA" fmlaRange="SMD" noThreeD="1" sel="1" val="0"/>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checked="Checked" firstButton="1" fmlaLink="Driver!$D$10"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Drop" dropLines="5" dropStyle="combo" dx="16" fmlaLink="SMSA" fmlaRange="SMD" noThreeD="1" sel="1" val="0"/>
</file>

<file path=xl/ctrlProps/ctrlProp22.xml><?xml version="1.0" encoding="utf-8"?>
<formControlPr xmlns="http://schemas.microsoft.com/office/spreadsheetml/2009/9/main" objectType="Radio"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Radio" checked="Checked" firstButton="1" fmlaLink="Driver!$D$10"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Drop" dropLines="5" dropStyle="combo" dx="16" fmlaLink="SMSA" fmlaRange="SMD" noThreeD="1" sel="1" val="0"/>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Drop" dropLines="5" dropStyle="combo" dx="16" fmlaLink="SMSA" fmlaRange="SMD" noThreeD="1" sel="1" val="0"/>
</file>

<file path=xl/ctrlProps/ctrlProp30.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checked="Checked" firstButton="1" fmlaLink="Driver!$D$10"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Drop" dropLines="5" dropStyle="combo" dx="16" fmlaLink="SMSA" fmlaRange="SMD" noThreeD="1" sel="1" val="0"/>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123825</xdr:colOff>
          <xdr:row>5</xdr:row>
          <xdr:rowOff>66675</xdr:rowOff>
        </xdr:from>
        <xdr:to>
          <xdr:col>6</xdr:col>
          <xdr:colOff>428625</xdr:colOff>
          <xdr:row>9</xdr:row>
          <xdr:rowOff>66675</xdr:rowOff>
        </xdr:to>
        <xdr:sp macro="" textlink="">
          <xdr:nvSpPr>
            <xdr:cNvPr id="130059" name="Object 11" hidden="1">
              <a:extLst>
                <a:ext uri="{63B3BB69-23CF-44E3-9099-C40C66FF867C}">
                  <a14:compatExt spid="_x0000_s130059"/>
                </a:ext>
                <a:ext uri="{FF2B5EF4-FFF2-40B4-BE49-F238E27FC236}">
                  <a16:creationId xmlns:a16="http://schemas.microsoft.com/office/drawing/2014/main" id="{00000000-0008-0000-0000-00000BFC01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19809" name="Option Button 1" hidden="1">
              <a:extLst>
                <a:ext uri="{63B3BB69-23CF-44E3-9099-C40C66FF867C}">
                  <a14:compatExt spid="_x0000_s119809"/>
                </a:ext>
                <a:ext uri="{FF2B5EF4-FFF2-40B4-BE49-F238E27FC236}">
                  <a16:creationId xmlns:a16="http://schemas.microsoft.com/office/drawing/2014/main" id="{00000000-0008-0000-0200-000001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Northeast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19810" name="Option Button 2" hidden="1">
              <a:extLst>
                <a:ext uri="{63B3BB69-23CF-44E3-9099-C40C66FF867C}">
                  <a14:compatExt spid="_x0000_s119810"/>
                </a:ext>
                <a:ext uri="{FF2B5EF4-FFF2-40B4-BE49-F238E27FC236}">
                  <a16:creationId xmlns:a16="http://schemas.microsoft.com/office/drawing/2014/main" id="{00000000-0008-0000-0200-000002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19811" name="Drop Down 3" hidden="1">
              <a:extLst>
                <a:ext uri="{63B3BB69-23CF-44E3-9099-C40C66FF867C}">
                  <a14:compatExt spid="_x0000_s119811"/>
                </a:ext>
                <a:ext uri="{FF2B5EF4-FFF2-40B4-BE49-F238E27FC236}">
                  <a16:creationId xmlns:a16="http://schemas.microsoft.com/office/drawing/2014/main" id="{00000000-0008-0000-0200-000003D4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19812" name="Option Button 4" hidden="1">
              <a:extLst>
                <a:ext uri="{63B3BB69-23CF-44E3-9099-C40C66FF867C}">
                  <a14:compatExt spid="_x0000_s119812"/>
                </a:ext>
                <a:ext uri="{FF2B5EF4-FFF2-40B4-BE49-F238E27FC236}">
                  <a16:creationId xmlns:a16="http://schemas.microsoft.com/office/drawing/2014/main" id="{00000000-0008-0000-0200-000004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19813" name="Option Button 5" hidden="1">
              <a:extLst>
                <a:ext uri="{63B3BB69-23CF-44E3-9099-C40C66FF867C}">
                  <a14:compatExt spid="_x0000_s119813"/>
                </a:ext>
                <a:ext uri="{FF2B5EF4-FFF2-40B4-BE49-F238E27FC236}">
                  <a16:creationId xmlns:a16="http://schemas.microsoft.com/office/drawing/2014/main" id="{00000000-0008-0000-0200-000005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19814" name="Option Button 6" hidden="1">
              <a:extLst>
                <a:ext uri="{63B3BB69-23CF-44E3-9099-C40C66FF867C}">
                  <a14:compatExt spid="_x0000_s119814"/>
                </a:ext>
                <a:ext uri="{FF2B5EF4-FFF2-40B4-BE49-F238E27FC236}">
                  <a16:creationId xmlns:a16="http://schemas.microsoft.com/office/drawing/2014/main" id="{00000000-0008-0000-0200-000006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18785" name="Option Button 1" hidden="1">
              <a:extLst>
                <a:ext uri="{63B3BB69-23CF-44E3-9099-C40C66FF867C}">
                  <a14:compatExt spid="_x0000_s118785"/>
                </a:ext>
                <a:ext uri="{FF2B5EF4-FFF2-40B4-BE49-F238E27FC236}">
                  <a16:creationId xmlns:a16="http://schemas.microsoft.com/office/drawing/2014/main" id="{00000000-0008-0000-0300-000001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Northeast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18786" name="Option Button 2" hidden="1">
              <a:extLst>
                <a:ext uri="{63B3BB69-23CF-44E3-9099-C40C66FF867C}">
                  <a14:compatExt spid="_x0000_s118786"/>
                </a:ext>
                <a:ext uri="{FF2B5EF4-FFF2-40B4-BE49-F238E27FC236}">
                  <a16:creationId xmlns:a16="http://schemas.microsoft.com/office/drawing/2014/main" id="{00000000-0008-0000-0300-000002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18787" name="Drop Down 3" hidden="1">
              <a:extLst>
                <a:ext uri="{63B3BB69-23CF-44E3-9099-C40C66FF867C}">
                  <a14:compatExt spid="_x0000_s118787"/>
                </a:ext>
                <a:ext uri="{FF2B5EF4-FFF2-40B4-BE49-F238E27FC236}">
                  <a16:creationId xmlns:a16="http://schemas.microsoft.com/office/drawing/2014/main" id="{00000000-0008-0000-0300-000003D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18788" name="Option Button 4" hidden="1">
              <a:extLst>
                <a:ext uri="{63B3BB69-23CF-44E3-9099-C40C66FF867C}">
                  <a14:compatExt spid="_x0000_s118788"/>
                </a:ext>
                <a:ext uri="{FF2B5EF4-FFF2-40B4-BE49-F238E27FC236}">
                  <a16:creationId xmlns:a16="http://schemas.microsoft.com/office/drawing/2014/main" id="{00000000-0008-0000-0300-000004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18789" name="Option Button 5" hidden="1">
              <a:extLst>
                <a:ext uri="{63B3BB69-23CF-44E3-9099-C40C66FF867C}">
                  <a14:compatExt spid="_x0000_s118789"/>
                </a:ext>
                <a:ext uri="{FF2B5EF4-FFF2-40B4-BE49-F238E27FC236}">
                  <a16:creationId xmlns:a16="http://schemas.microsoft.com/office/drawing/2014/main" id="{00000000-0008-0000-0300-000005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18790" name="Option Button 6" hidden="1">
              <a:extLst>
                <a:ext uri="{63B3BB69-23CF-44E3-9099-C40C66FF867C}">
                  <a14:compatExt spid="_x0000_s118790"/>
                </a:ext>
                <a:ext uri="{FF2B5EF4-FFF2-40B4-BE49-F238E27FC236}">
                  <a16:creationId xmlns:a16="http://schemas.microsoft.com/office/drawing/2014/main" id="{00000000-0008-0000-0300-000006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73737" name="Option Button 9" hidden="1">
              <a:extLst>
                <a:ext uri="{63B3BB69-23CF-44E3-9099-C40C66FF867C}">
                  <a14:compatExt spid="_x0000_s73737"/>
                </a:ext>
                <a:ext uri="{FF2B5EF4-FFF2-40B4-BE49-F238E27FC236}">
                  <a16:creationId xmlns:a16="http://schemas.microsoft.com/office/drawing/2014/main" id="{00000000-0008-0000-0400-000009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Northeast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73738" name="Option Button 10" hidden="1">
              <a:extLst>
                <a:ext uri="{63B3BB69-23CF-44E3-9099-C40C66FF867C}">
                  <a14:compatExt spid="_x0000_s73738"/>
                </a:ext>
                <a:ext uri="{FF2B5EF4-FFF2-40B4-BE49-F238E27FC236}">
                  <a16:creationId xmlns:a16="http://schemas.microsoft.com/office/drawing/2014/main" id="{00000000-0008-0000-0400-00000A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73739" name="Drop Down 11" hidden="1">
              <a:extLst>
                <a:ext uri="{63B3BB69-23CF-44E3-9099-C40C66FF867C}">
                  <a14:compatExt spid="_x0000_s73739"/>
                </a:ext>
                <a:ext uri="{FF2B5EF4-FFF2-40B4-BE49-F238E27FC236}">
                  <a16:creationId xmlns:a16="http://schemas.microsoft.com/office/drawing/2014/main" id="{00000000-0008-0000-0400-00000B2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73740" name="Option Button 12" hidden="1">
              <a:extLst>
                <a:ext uri="{63B3BB69-23CF-44E3-9099-C40C66FF867C}">
                  <a14:compatExt spid="_x0000_s73740"/>
                </a:ext>
                <a:ext uri="{FF2B5EF4-FFF2-40B4-BE49-F238E27FC236}">
                  <a16:creationId xmlns:a16="http://schemas.microsoft.com/office/drawing/2014/main" id="{00000000-0008-0000-0400-00000C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73741" name="Option Button 13" hidden="1">
              <a:extLst>
                <a:ext uri="{63B3BB69-23CF-44E3-9099-C40C66FF867C}">
                  <a14:compatExt spid="_x0000_s73741"/>
                </a:ext>
                <a:ext uri="{FF2B5EF4-FFF2-40B4-BE49-F238E27FC236}">
                  <a16:creationId xmlns:a16="http://schemas.microsoft.com/office/drawing/2014/main" id="{00000000-0008-0000-0400-00000D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73742" name="Option Button 14" hidden="1">
              <a:extLst>
                <a:ext uri="{63B3BB69-23CF-44E3-9099-C40C66FF867C}">
                  <a14:compatExt spid="_x0000_s73742"/>
                </a:ext>
                <a:ext uri="{FF2B5EF4-FFF2-40B4-BE49-F238E27FC236}">
                  <a16:creationId xmlns:a16="http://schemas.microsoft.com/office/drawing/2014/main" id="{00000000-0008-0000-0400-00000E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20833" name="Option Button 1" hidden="1">
              <a:extLst>
                <a:ext uri="{63B3BB69-23CF-44E3-9099-C40C66FF867C}">
                  <a14:compatExt spid="_x0000_s120833"/>
                </a:ext>
                <a:ext uri="{FF2B5EF4-FFF2-40B4-BE49-F238E27FC236}">
                  <a16:creationId xmlns:a16="http://schemas.microsoft.com/office/drawing/2014/main" id="{00000000-0008-0000-0500-000001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Northeast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20834" name="Option Button 2" hidden="1">
              <a:extLst>
                <a:ext uri="{63B3BB69-23CF-44E3-9099-C40C66FF867C}">
                  <a14:compatExt spid="_x0000_s120834"/>
                </a:ext>
                <a:ext uri="{FF2B5EF4-FFF2-40B4-BE49-F238E27FC236}">
                  <a16:creationId xmlns:a16="http://schemas.microsoft.com/office/drawing/2014/main" id="{00000000-0008-0000-0500-000002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20835" name="Drop Down 3" hidden="1">
              <a:extLst>
                <a:ext uri="{63B3BB69-23CF-44E3-9099-C40C66FF867C}">
                  <a14:compatExt spid="_x0000_s120835"/>
                </a:ext>
                <a:ext uri="{FF2B5EF4-FFF2-40B4-BE49-F238E27FC236}">
                  <a16:creationId xmlns:a16="http://schemas.microsoft.com/office/drawing/2014/main" id="{00000000-0008-0000-0500-000003D8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20836" name="Option Button 4" hidden="1">
              <a:extLst>
                <a:ext uri="{63B3BB69-23CF-44E3-9099-C40C66FF867C}">
                  <a14:compatExt spid="_x0000_s120836"/>
                </a:ext>
                <a:ext uri="{FF2B5EF4-FFF2-40B4-BE49-F238E27FC236}">
                  <a16:creationId xmlns:a16="http://schemas.microsoft.com/office/drawing/2014/main" id="{00000000-0008-0000-0500-000004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20837" name="Option Button 5" hidden="1">
              <a:extLst>
                <a:ext uri="{63B3BB69-23CF-44E3-9099-C40C66FF867C}">
                  <a14:compatExt spid="_x0000_s120837"/>
                </a:ext>
                <a:ext uri="{FF2B5EF4-FFF2-40B4-BE49-F238E27FC236}">
                  <a16:creationId xmlns:a16="http://schemas.microsoft.com/office/drawing/2014/main" id="{00000000-0008-0000-0500-000005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20838" name="Option Button 6" hidden="1">
              <a:extLst>
                <a:ext uri="{63B3BB69-23CF-44E3-9099-C40C66FF867C}">
                  <a14:compatExt spid="_x0000_s120838"/>
                </a:ext>
                <a:ext uri="{FF2B5EF4-FFF2-40B4-BE49-F238E27FC236}">
                  <a16:creationId xmlns:a16="http://schemas.microsoft.com/office/drawing/2014/main" id="{00000000-0008-0000-0500-000006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85725</xdr:colOff>
          <xdr:row>1</xdr:row>
          <xdr:rowOff>180975</xdr:rowOff>
        </xdr:from>
        <xdr:to>
          <xdr:col>2</xdr:col>
          <xdr:colOff>1104900</xdr:colOff>
          <xdr:row>3</xdr:row>
          <xdr:rowOff>0</xdr:rowOff>
        </xdr:to>
        <xdr:sp macro="" textlink="">
          <xdr:nvSpPr>
            <xdr:cNvPr id="121857" name="Option Button 1" hidden="1">
              <a:extLst>
                <a:ext uri="{63B3BB69-23CF-44E3-9099-C40C66FF867C}">
                  <a14:compatExt spid="_x0000_s121857"/>
                </a:ext>
                <a:ext uri="{FF2B5EF4-FFF2-40B4-BE49-F238E27FC236}">
                  <a16:creationId xmlns:a16="http://schemas.microsoft.com/office/drawing/2014/main" id="{00000000-0008-0000-0600-000001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Northeast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2</xdr:row>
          <xdr:rowOff>171450</xdr:rowOff>
        </xdr:from>
        <xdr:to>
          <xdr:col>2</xdr:col>
          <xdr:colOff>1104900</xdr:colOff>
          <xdr:row>3</xdr:row>
          <xdr:rowOff>180975</xdr:rowOff>
        </xdr:to>
        <xdr:sp macro="" textlink="">
          <xdr:nvSpPr>
            <xdr:cNvPr id="121858" name="Option Button 2" hidden="1">
              <a:extLst>
                <a:ext uri="{63B3BB69-23CF-44E3-9099-C40C66FF867C}">
                  <a14:compatExt spid="_x0000_s121858"/>
                </a:ext>
                <a:ext uri="{FF2B5EF4-FFF2-40B4-BE49-F238E27FC236}">
                  <a16:creationId xmlns:a16="http://schemas.microsoft.com/office/drawing/2014/main" id="{00000000-0008-0000-0600-000002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21859" name="Drop Down 3" hidden="1">
              <a:extLst>
                <a:ext uri="{63B3BB69-23CF-44E3-9099-C40C66FF867C}">
                  <a14:compatExt spid="_x0000_s121859"/>
                </a:ext>
                <a:ext uri="{FF2B5EF4-FFF2-40B4-BE49-F238E27FC236}">
                  <a16:creationId xmlns:a16="http://schemas.microsoft.com/office/drawing/2014/main" id="{00000000-0008-0000-0600-000003DC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3</xdr:row>
          <xdr:rowOff>171450</xdr:rowOff>
        </xdr:from>
        <xdr:to>
          <xdr:col>2</xdr:col>
          <xdr:colOff>1104900</xdr:colOff>
          <xdr:row>4</xdr:row>
          <xdr:rowOff>180975</xdr:rowOff>
        </xdr:to>
        <xdr:sp macro="" textlink="">
          <xdr:nvSpPr>
            <xdr:cNvPr id="121860" name="Option Button 4" hidden="1">
              <a:extLst>
                <a:ext uri="{63B3BB69-23CF-44E3-9099-C40C66FF867C}">
                  <a14:compatExt spid="_x0000_s121860"/>
                </a:ext>
                <a:ext uri="{FF2B5EF4-FFF2-40B4-BE49-F238E27FC236}">
                  <a16:creationId xmlns:a16="http://schemas.microsoft.com/office/drawing/2014/main" id="{00000000-0008-0000-0600-000004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4</xdr:row>
          <xdr:rowOff>161925</xdr:rowOff>
        </xdr:from>
        <xdr:to>
          <xdr:col>2</xdr:col>
          <xdr:colOff>1104900</xdr:colOff>
          <xdr:row>5</xdr:row>
          <xdr:rowOff>171450</xdr:rowOff>
        </xdr:to>
        <xdr:sp macro="" textlink="">
          <xdr:nvSpPr>
            <xdr:cNvPr id="121861" name="Option Button 5" hidden="1">
              <a:extLst>
                <a:ext uri="{63B3BB69-23CF-44E3-9099-C40C66FF867C}">
                  <a14:compatExt spid="_x0000_s121861"/>
                </a:ext>
                <a:ext uri="{FF2B5EF4-FFF2-40B4-BE49-F238E27FC236}">
                  <a16:creationId xmlns:a16="http://schemas.microsoft.com/office/drawing/2014/main" id="{00000000-0008-0000-0600-000005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5</xdr:row>
          <xdr:rowOff>161925</xdr:rowOff>
        </xdr:from>
        <xdr:to>
          <xdr:col>2</xdr:col>
          <xdr:colOff>1104900</xdr:colOff>
          <xdr:row>6</xdr:row>
          <xdr:rowOff>171450</xdr:rowOff>
        </xdr:to>
        <xdr:sp macro="" textlink="">
          <xdr:nvSpPr>
            <xdr:cNvPr id="121862" name="Option Button 6" hidden="1">
              <a:extLst>
                <a:ext uri="{63B3BB69-23CF-44E3-9099-C40C66FF867C}">
                  <a14:compatExt spid="_x0000_s121862"/>
                </a:ext>
                <a:ext uri="{FF2B5EF4-FFF2-40B4-BE49-F238E27FC236}">
                  <a16:creationId xmlns:a16="http://schemas.microsoft.com/office/drawing/2014/main" id="{00000000-0008-0000-0600-000006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RH_BASE_F_STAT" backgroundRefresh="0" connectionId="2" xr16:uid="{00000000-0016-0000-0900-000000000000}" autoFormatId="16" applyNumberFormats="0" applyBorderFormats="0" applyFontFormats="0" applyPatternFormats="0" applyAlignmentFormats="0" applyWidthHeightFormats="0">
  <queryTableRefresh nextId="20">
    <queryTableFields count="16">
      <queryTableField id="4" name="MT" tableColumnId="4"/>
      <queryTableField id="5" name="CAT" tableColumnId="5"/>
      <queryTableField id="6" name="LOC" tableColumnId="6"/>
      <queryTableField id="7" name="EP" tableColumnId="7"/>
      <queryTableField id="8" name="INV" tableColumnId="8"/>
      <queryTableField id="9" name="BL" tableColumnId="9"/>
      <queryTableField id="10" name="ADP" tableColumnId="10"/>
      <queryTableField id="11" name="PROD_MTD" tableColumnId="11"/>
      <queryTableField id="12" name="PROD_FYTD" tableColumnId="12"/>
      <queryTableField id="13" name="ADCM" tableColumnId="13"/>
      <queryTableField id="14" name="ADCF" tableColumnId="14"/>
      <queryTableField id="15" name="DEV" tableColumnId="15"/>
      <queryTableField id="16" name="EVD" tableColumnId="16"/>
      <queryTableField id="17" name="DEC" tableColumnId="17"/>
      <queryTableField id="18" name="AWD" tableColumnId="18"/>
      <queryTableField id="19" name="AUT" tableColumnId="19"/>
    </queryTableFields>
  </queryTableRefresh>
</queryTable>
</file>

<file path=xl/queryTables/queryTable2.xml><?xml version="1.0" encoding="utf-8"?>
<queryTable xmlns="http://schemas.openxmlformats.org/spreadsheetml/2006/main" xmlns:mc="http://schemas.openxmlformats.org/markup-compatibility/2006" xmlns:xr16="http://schemas.microsoft.com/office/spreadsheetml/2017/revision16" mc:Ignorable="xr16" name="RH_BASE_F_STAT" backgroundRefresh="0" connectionId="1" xr16:uid="{00000000-0016-0000-0B00-000001000000}" autoFormatId="16" applyNumberFormats="0" applyBorderFormats="0" applyFontFormats="0" applyPatternFormats="0" applyAlignmentFormats="0" applyWidthHeightFormats="0">
  <queryTableRefresh nextId="2">
    <queryTableFields count="1">
      <queryTableField id="1" name="ST_DATE" tableColumnId="4"/>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0000000}" name="D_D" displayName="D_D" ref="A1:P2015" tableType="queryTable" totalsRowShown="0">
  <tableColumns count="16">
    <tableColumn id="4" xr3:uid="{00000000-0010-0000-0000-000004000000}" uniqueName="4" name="MT" queryTableFieldId="4"/>
    <tableColumn id="5" xr3:uid="{00000000-0010-0000-0000-000005000000}" uniqueName="5" name="CAT" queryTableFieldId="5"/>
    <tableColumn id="6" xr3:uid="{00000000-0010-0000-0000-000006000000}" uniqueName="6" name="LOC" queryTableFieldId="6"/>
    <tableColumn id="7" xr3:uid="{00000000-0010-0000-0000-000007000000}" uniqueName="7" name="EP" queryTableFieldId="7"/>
    <tableColumn id="8" xr3:uid="{00000000-0010-0000-0000-000008000000}" uniqueName="8" name="INV" queryTableFieldId="8"/>
    <tableColumn id="9" xr3:uid="{00000000-0010-0000-0000-000009000000}" uniqueName="9" name="BL" queryTableFieldId="9"/>
    <tableColumn id="10" xr3:uid="{00000000-0010-0000-0000-00000A000000}" uniqueName="10" name="ADP" queryTableFieldId="10"/>
    <tableColumn id="11" xr3:uid="{00000000-0010-0000-0000-00000B000000}" uniqueName="11" name="PROD_MTD" queryTableFieldId="11"/>
    <tableColumn id="12" xr3:uid="{00000000-0010-0000-0000-00000C000000}" uniqueName="12" name="PROD_FYTD" queryTableFieldId="12"/>
    <tableColumn id="13" xr3:uid="{00000000-0010-0000-0000-00000D000000}" uniqueName="13" name="ADCM" queryTableFieldId="13"/>
    <tableColumn id="14" xr3:uid="{00000000-0010-0000-0000-00000E000000}" uniqueName="14" name="ADCF" queryTableFieldId="14"/>
    <tableColumn id="15" xr3:uid="{00000000-0010-0000-0000-00000F000000}" uniqueName="15" name="DEV" queryTableFieldId="15"/>
    <tableColumn id="16" xr3:uid="{00000000-0010-0000-0000-000010000000}" uniqueName="16" name="EVD" queryTableFieldId="16"/>
    <tableColumn id="17" xr3:uid="{00000000-0010-0000-0000-000011000000}" uniqueName="17" name="DEC" queryTableFieldId="17"/>
    <tableColumn id="18" xr3:uid="{00000000-0010-0000-0000-000012000000}" uniqueName="18" name="AWD" queryTableFieldId="18"/>
    <tableColumn id="19" xr3:uid="{00000000-0010-0000-0000-000013000000}" uniqueName="19" name="AUT" queryTableFieldId="19"/>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1000000}" name="D_DT" displayName="D_DT" ref="A1:A2" tableType="queryTable" totalsRowShown="0" headerRowDxfId="586" dataDxfId="585">
  <tableColumns count="1">
    <tableColumn id="4" xr3:uid="{00000000-0010-0000-0100-000004000000}" uniqueName="4" name="ST_DATE" queryTableFieldId="1"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10.xml.rels><?xml version="1.0" encoding="UTF-8" standalone="yes"?>
<Relationships xmlns="http://schemas.openxmlformats.org/package/2006/relationships"><Relationship Id="rId1" Type="http://schemas.openxmlformats.org/officeDocument/2006/relationships/table" Target="../tables/table1.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1.xml"/><Relationship Id="rId3" Type="http://schemas.openxmlformats.org/officeDocument/2006/relationships/vmlDrawing" Target="../drawings/vmlDrawing3.vml"/><Relationship Id="rId7" Type="http://schemas.openxmlformats.org/officeDocument/2006/relationships/ctrlProp" Target="../ctrlProps/ctrlProp10.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 Id="rId9" Type="http://schemas.openxmlformats.org/officeDocument/2006/relationships/ctrlProp" Target="../ctrlProps/ctrlProp12.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7.xml"/><Relationship Id="rId3" Type="http://schemas.openxmlformats.org/officeDocument/2006/relationships/vmlDrawing" Target="../drawings/vmlDrawing4.vml"/><Relationship Id="rId7" Type="http://schemas.openxmlformats.org/officeDocument/2006/relationships/ctrlProp" Target="../ctrlProps/ctrlProp16.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15.xml"/><Relationship Id="rId5" Type="http://schemas.openxmlformats.org/officeDocument/2006/relationships/ctrlProp" Target="../ctrlProps/ctrlProp14.xml"/><Relationship Id="rId4" Type="http://schemas.openxmlformats.org/officeDocument/2006/relationships/ctrlProp" Target="../ctrlProps/ctrlProp13.xml"/><Relationship Id="rId9" Type="http://schemas.openxmlformats.org/officeDocument/2006/relationships/ctrlProp" Target="../ctrlProps/ctrlProp18.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3.xml"/><Relationship Id="rId3" Type="http://schemas.openxmlformats.org/officeDocument/2006/relationships/vmlDrawing" Target="../drawings/vmlDrawing5.vml"/><Relationship Id="rId7" Type="http://schemas.openxmlformats.org/officeDocument/2006/relationships/ctrlProp" Target="../ctrlProps/ctrlProp22.x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21.xml"/><Relationship Id="rId5" Type="http://schemas.openxmlformats.org/officeDocument/2006/relationships/ctrlProp" Target="../ctrlProps/ctrlProp20.xml"/><Relationship Id="rId4" Type="http://schemas.openxmlformats.org/officeDocument/2006/relationships/ctrlProp" Target="../ctrlProps/ctrlProp19.xml"/><Relationship Id="rId9" Type="http://schemas.openxmlformats.org/officeDocument/2006/relationships/ctrlProp" Target="../ctrlProps/ctrlProp24.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29.xml"/><Relationship Id="rId3" Type="http://schemas.openxmlformats.org/officeDocument/2006/relationships/vmlDrawing" Target="../drawings/vmlDrawing6.vml"/><Relationship Id="rId7" Type="http://schemas.openxmlformats.org/officeDocument/2006/relationships/ctrlProp" Target="../ctrlProps/ctrlProp28.xml"/><Relationship Id="rId2" Type="http://schemas.openxmlformats.org/officeDocument/2006/relationships/drawing" Target="../drawings/drawing6.xml"/><Relationship Id="rId1" Type="http://schemas.openxmlformats.org/officeDocument/2006/relationships/printerSettings" Target="../printerSettings/printerSettings7.bin"/><Relationship Id="rId6" Type="http://schemas.openxmlformats.org/officeDocument/2006/relationships/ctrlProp" Target="../ctrlProps/ctrlProp27.xml"/><Relationship Id="rId5" Type="http://schemas.openxmlformats.org/officeDocument/2006/relationships/ctrlProp" Target="../ctrlProps/ctrlProp26.xml"/><Relationship Id="rId4" Type="http://schemas.openxmlformats.org/officeDocument/2006/relationships/ctrlProp" Target="../ctrlProps/ctrlProp25.xml"/><Relationship Id="rId9" Type="http://schemas.openxmlformats.org/officeDocument/2006/relationships/ctrlProp" Target="../ctrlProps/ctrlProp30.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dimension ref="B1:G33"/>
  <sheetViews>
    <sheetView showGridLines="0" workbookViewId="0">
      <pane xSplit="2" ySplit="1" topLeftCell="C2" activePane="bottomRight" state="frozen"/>
      <selection pane="topRight" activeCell="C1" sqref="C1"/>
      <selection pane="bottomLeft" activeCell="A2" sqref="A2"/>
      <selection pane="bottomRight" activeCell="I8" sqref="I8"/>
    </sheetView>
  </sheetViews>
  <sheetFormatPr defaultRowHeight="14.1" customHeight="1" x14ac:dyDescent="0.2"/>
  <cols>
    <col min="1" max="1" width="1.7109375" customWidth="1"/>
    <col min="2" max="2" width="11.5703125" customWidth="1"/>
    <col min="3" max="3" width="92.42578125" bestFit="1" customWidth="1"/>
    <col min="4" max="4" width="9.140625" customWidth="1"/>
    <col min="5" max="5" width="37.42578125" customWidth="1"/>
    <col min="8" max="8" width="5.7109375" bestFit="1" customWidth="1"/>
    <col min="11" max="11" width="5.7109375" bestFit="1" customWidth="1"/>
  </cols>
  <sheetData>
    <row r="1" spans="2:7" ht="14.1" customHeight="1" x14ac:dyDescent="0.2">
      <c r="B1" s="147" t="s">
        <v>799</v>
      </c>
      <c r="C1" s="147" t="s">
        <v>800</v>
      </c>
      <c r="D1" s="147" t="s">
        <v>866</v>
      </c>
      <c r="E1" s="147" t="s">
        <v>803</v>
      </c>
    </row>
    <row r="2" spans="2:7" s="109" customFormat="1" ht="14.1" customHeight="1" x14ac:dyDescent="0.2">
      <c r="B2" s="243" t="s">
        <v>791</v>
      </c>
      <c r="C2" s="243" t="s">
        <v>372</v>
      </c>
      <c r="D2" s="268" t="s">
        <v>865</v>
      </c>
      <c r="E2" s="282" t="s">
        <v>884</v>
      </c>
    </row>
    <row r="3" spans="2:7" s="109" customFormat="1" ht="14.1" customHeight="1" x14ac:dyDescent="0.2">
      <c r="B3" s="243" t="s">
        <v>792</v>
      </c>
      <c r="C3" s="243" t="s">
        <v>802</v>
      </c>
      <c r="D3" s="268" t="s">
        <v>865</v>
      </c>
      <c r="E3" s="283"/>
    </row>
    <row r="4" spans="2:7" s="109" customFormat="1" ht="14.1" customHeight="1" x14ac:dyDescent="0.2">
      <c r="B4" s="243" t="s">
        <v>793</v>
      </c>
      <c r="C4" s="241" t="s">
        <v>15</v>
      </c>
      <c r="D4" s="268" t="s">
        <v>865</v>
      </c>
      <c r="E4" s="283"/>
    </row>
    <row r="5" spans="2:7" s="109" customFormat="1" ht="14.1" customHeight="1" x14ac:dyDescent="0.2">
      <c r="B5" s="243" t="s">
        <v>794</v>
      </c>
      <c r="C5" s="243" t="s">
        <v>14</v>
      </c>
      <c r="D5" s="268" t="s">
        <v>865</v>
      </c>
      <c r="E5" s="283"/>
      <c r="F5" s="257"/>
      <c r="G5" s="257"/>
    </row>
    <row r="6" spans="2:7" s="109" customFormat="1" ht="14.1" customHeight="1" x14ac:dyDescent="0.2">
      <c r="B6" s="243" t="s">
        <v>795</v>
      </c>
      <c r="C6" s="243" t="s">
        <v>169</v>
      </c>
      <c r="D6" s="268" t="s">
        <v>424</v>
      </c>
      <c r="E6" s="283"/>
      <c r="F6" s="257"/>
      <c r="G6" s="257"/>
    </row>
    <row r="7" spans="2:7" s="109" customFormat="1" ht="14.1" customHeight="1" x14ac:dyDescent="0.2">
      <c r="B7" s="243" t="s">
        <v>796</v>
      </c>
      <c r="C7" s="243" t="s">
        <v>170</v>
      </c>
      <c r="D7" s="268" t="s">
        <v>424</v>
      </c>
      <c r="E7" s="283"/>
      <c r="F7" s="257"/>
      <c r="G7" s="257"/>
    </row>
    <row r="8" spans="2:7" s="109" customFormat="1" ht="14.1" customHeight="1" x14ac:dyDescent="0.2">
      <c r="B8" s="243" t="s">
        <v>797</v>
      </c>
      <c r="C8" s="242" t="s">
        <v>801</v>
      </c>
      <c r="D8" s="268" t="s">
        <v>865</v>
      </c>
      <c r="E8" s="283"/>
      <c r="F8" s="285"/>
      <c r="G8" s="286"/>
    </row>
    <row r="9" spans="2:7" s="109" customFormat="1" ht="14.1" customHeight="1" x14ac:dyDescent="0.2">
      <c r="B9" s="243" t="s">
        <v>798</v>
      </c>
      <c r="C9" s="242" t="s">
        <v>16</v>
      </c>
      <c r="D9" s="268" t="s">
        <v>865</v>
      </c>
      <c r="E9" s="283"/>
      <c r="F9" s="257"/>
      <c r="G9" s="257"/>
    </row>
    <row r="10" spans="2:7" s="109" customFormat="1" ht="14.1" customHeight="1" x14ac:dyDescent="0.2">
      <c r="B10" s="243" t="s">
        <v>173</v>
      </c>
      <c r="C10" s="243" t="s">
        <v>881</v>
      </c>
      <c r="D10" s="268" t="s">
        <v>865</v>
      </c>
      <c r="E10" s="283"/>
      <c r="F10" s="257"/>
      <c r="G10" s="257"/>
    </row>
    <row r="11" spans="2:7" s="109" customFormat="1" ht="14.1" customHeight="1" x14ac:dyDescent="0.2">
      <c r="B11" s="243" t="s">
        <v>174</v>
      </c>
      <c r="C11" s="243" t="s">
        <v>882</v>
      </c>
      <c r="D11" s="268" t="s">
        <v>865</v>
      </c>
      <c r="E11" s="283"/>
      <c r="F11" s="257"/>
      <c r="G11" s="257"/>
    </row>
    <row r="12" spans="2:7" s="109" customFormat="1" ht="14.1" customHeight="1" x14ac:dyDescent="0.2">
      <c r="B12" s="243" t="s">
        <v>171</v>
      </c>
      <c r="C12" s="242" t="s">
        <v>879</v>
      </c>
      <c r="D12" s="268" t="s">
        <v>865</v>
      </c>
      <c r="E12" s="283"/>
      <c r="F12" s="257"/>
      <c r="G12" s="257"/>
    </row>
    <row r="13" spans="2:7" s="109" customFormat="1" ht="14.1" customHeight="1" x14ac:dyDescent="0.2">
      <c r="B13" s="243" t="s">
        <v>172</v>
      </c>
      <c r="C13" s="243" t="s">
        <v>880</v>
      </c>
      <c r="D13" s="243" t="s">
        <v>865</v>
      </c>
      <c r="E13" s="284"/>
      <c r="F13" s="257"/>
      <c r="G13" s="257"/>
    </row>
    <row r="14" spans="2:7" ht="14.1" customHeight="1" x14ac:dyDescent="0.2">
      <c r="E14" s="282" t="s">
        <v>885</v>
      </c>
      <c r="F14" s="258"/>
      <c r="G14" s="258"/>
    </row>
    <row r="15" spans="2:7" ht="14.1" customHeight="1" x14ac:dyDescent="0.2">
      <c r="B15" s="244" t="s">
        <v>106</v>
      </c>
      <c r="C15" s="244" t="s">
        <v>823</v>
      </c>
      <c r="D15" s="269"/>
      <c r="E15" s="283"/>
      <c r="F15" s="258"/>
      <c r="G15" s="258"/>
    </row>
    <row r="16" spans="2:7" ht="14.1" customHeight="1" x14ac:dyDescent="0.2">
      <c r="B16" s="244" t="s">
        <v>821</v>
      </c>
      <c r="C16" s="244" t="s">
        <v>822</v>
      </c>
      <c r="D16" s="269"/>
      <c r="E16" s="283"/>
      <c r="F16" s="258"/>
      <c r="G16" s="258"/>
    </row>
    <row r="17" spans="2:7" ht="14.1" customHeight="1" x14ac:dyDescent="0.2">
      <c r="E17" s="283"/>
      <c r="F17" s="258"/>
      <c r="G17" s="258"/>
    </row>
    <row r="18" spans="2:7" ht="14.1" customHeight="1" x14ac:dyDescent="0.2">
      <c r="B18" s="244" t="s">
        <v>824</v>
      </c>
      <c r="C18" s="244" t="s">
        <v>826</v>
      </c>
      <c r="D18" s="269"/>
      <c r="E18" s="283"/>
    </row>
    <row r="19" spans="2:7" ht="14.1" customHeight="1" x14ac:dyDescent="0.2">
      <c r="B19" s="244" t="s">
        <v>825</v>
      </c>
      <c r="C19" s="244" t="s">
        <v>827</v>
      </c>
      <c r="D19" s="269"/>
      <c r="E19" s="284"/>
    </row>
    <row r="21" spans="2:7" ht="14.1" customHeight="1" x14ac:dyDescent="0.2">
      <c r="B21" s="244" t="s">
        <v>828</v>
      </c>
      <c r="C21" s="244" t="s">
        <v>829</v>
      </c>
      <c r="D21" s="269"/>
    </row>
    <row r="22" spans="2:7" ht="14.1" customHeight="1" x14ac:dyDescent="0.2">
      <c r="B22" s="245" t="s">
        <v>830</v>
      </c>
      <c r="C22" s="245" t="s">
        <v>831</v>
      </c>
      <c r="D22" s="111"/>
    </row>
    <row r="24" spans="2:7" ht="14.1" customHeight="1" x14ac:dyDescent="0.2">
      <c r="B24" s="280" t="s">
        <v>373</v>
      </c>
      <c r="C24" s="280" t="s">
        <v>836</v>
      </c>
      <c r="D24" s="270"/>
    </row>
    <row r="25" spans="2:7" ht="14.1" customHeight="1" x14ac:dyDescent="0.2">
      <c r="B25" s="281"/>
      <c r="C25" s="281"/>
      <c r="D25" s="271"/>
    </row>
    <row r="26" spans="2:7" ht="14.1" customHeight="1" x14ac:dyDescent="0.2">
      <c r="B26" s="280" t="s">
        <v>374</v>
      </c>
      <c r="C26" s="280" t="s">
        <v>837</v>
      </c>
      <c r="D26" s="270"/>
    </row>
    <row r="27" spans="2:7" ht="14.1" customHeight="1" x14ac:dyDescent="0.2">
      <c r="B27" s="281"/>
      <c r="C27" s="281"/>
      <c r="D27" s="271"/>
    </row>
    <row r="28" spans="2:7" ht="14.1" customHeight="1" x14ac:dyDescent="0.2">
      <c r="B28" s="280" t="s">
        <v>375</v>
      </c>
      <c r="C28" s="280" t="s">
        <v>838</v>
      </c>
      <c r="D28" s="270"/>
    </row>
    <row r="29" spans="2:7" ht="14.1" customHeight="1" x14ac:dyDescent="0.2">
      <c r="B29" s="281"/>
      <c r="C29" s="281"/>
      <c r="D29" s="271"/>
    </row>
    <row r="30" spans="2:7" ht="14.1" customHeight="1" x14ac:dyDescent="0.2">
      <c r="B30" s="280" t="s">
        <v>376</v>
      </c>
      <c r="C30" s="280" t="s">
        <v>839</v>
      </c>
      <c r="D30" s="270"/>
    </row>
    <row r="31" spans="2:7" ht="14.1" customHeight="1" x14ac:dyDescent="0.2">
      <c r="B31" s="281"/>
      <c r="C31" s="281"/>
      <c r="D31" s="271"/>
    </row>
    <row r="32" spans="2:7" ht="14.1" customHeight="1" x14ac:dyDescent="0.2">
      <c r="B32" s="280" t="s">
        <v>377</v>
      </c>
      <c r="C32" s="280" t="s">
        <v>840</v>
      </c>
      <c r="D32" s="270"/>
    </row>
    <row r="33" spans="2:4" ht="14.1" customHeight="1" x14ac:dyDescent="0.2">
      <c r="B33" s="281"/>
      <c r="C33" s="281"/>
      <c r="D33" s="271"/>
    </row>
  </sheetData>
  <mergeCells count="13">
    <mergeCell ref="F8:G8"/>
    <mergeCell ref="B28:B29"/>
    <mergeCell ref="C28:C29"/>
    <mergeCell ref="B30:B31"/>
    <mergeCell ref="C30:C31"/>
    <mergeCell ref="B32:B33"/>
    <mergeCell ref="C32:C33"/>
    <mergeCell ref="E2:E13"/>
    <mergeCell ref="B24:B25"/>
    <mergeCell ref="C24:C25"/>
    <mergeCell ref="B26:B27"/>
    <mergeCell ref="C26:C27"/>
    <mergeCell ref="E14:E19"/>
  </mergeCells>
  <conditionalFormatting sqref="B13 C5">
    <cfRule type="expression" dxfId="584" priority="2">
      <formula>IF(OR(ISERROR(B5),B5="ERROR"),TRUE,FALSE)</formula>
    </cfRule>
  </conditionalFormatting>
  <conditionalFormatting sqref="B10">
    <cfRule type="expression" dxfId="583" priority="5">
      <formula>IF(OR(ISERROR(B10),B10="ERROR"),TRUE,FALSE)</formula>
    </cfRule>
  </conditionalFormatting>
  <conditionalFormatting sqref="C13">
    <cfRule type="expression" dxfId="582" priority="14">
      <formula>IF(OR(ISERROR(C13),C13="ERROR"),TRUE,FALSE)</formula>
    </cfRule>
  </conditionalFormatting>
  <conditionalFormatting sqref="B2">
    <cfRule type="expression" dxfId="581" priority="13">
      <formula>IF(OR(ISERROR(B2),B2="ERROR"),TRUE,FALSE)</formula>
    </cfRule>
  </conditionalFormatting>
  <conditionalFormatting sqref="B7:C7">
    <cfRule type="expression" dxfId="580" priority="12">
      <formula>IF(OR(ISERROR(B7),B7="ERROR"),TRUE,FALSE)</formula>
    </cfRule>
  </conditionalFormatting>
  <conditionalFormatting sqref="B5">
    <cfRule type="expression" dxfId="579" priority="11">
      <formula>IF(OR(ISERROR(B5),B5="ERROR"),TRUE,FALSE)</formula>
    </cfRule>
  </conditionalFormatting>
  <conditionalFormatting sqref="B12:C12">
    <cfRule type="expression" dxfId="578" priority="3">
      <formula>IF(OR(ISERROR(B12),B12="ERROR"),TRUE,FALSE)</formula>
    </cfRule>
  </conditionalFormatting>
  <conditionalFormatting sqref="B6:C6">
    <cfRule type="expression" dxfId="577" priority="8">
      <formula>IF(OR(ISERROR(B6),B6="ERROR"),TRUE,FALSE)</formula>
    </cfRule>
  </conditionalFormatting>
  <conditionalFormatting sqref="B8:C8">
    <cfRule type="expression" dxfId="576" priority="7">
      <formula>IF(OR(ISERROR(B8),B8="ERROR"),TRUE,FALSE)</formula>
    </cfRule>
  </conditionalFormatting>
  <conditionalFormatting sqref="B9:C9">
    <cfRule type="expression" dxfId="575" priority="6">
      <formula>IF(OR(ISERROR(B9),B9="ERROR"),TRUE,FALSE)</formula>
    </cfRule>
  </conditionalFormatting>
  <conditionalFormatting sqref="B11">
    <cfRule type="expression" dxfId="574" priority="4">
      <formula>IF(OR(ISERROR(B11),B11="ERROR"),TRUE,FALSE)</formula>
    </cfRule>
  </conditionalFormatting>
  <conditionalFormatting sqref="C2:D2 D3:D4">
    <cfRule type="expression" dxfId="573" priority="17">
      <formula>IF(OR(ISERROR(C2),C2="ERROR"),TRUE,FALSE)</formula>
    </cfRule>
  </conditionalFormatting>
  <conditionalFormatting sqref="C10">
    <cfRule type="expression" dxfId="572" priority="16">
      <formula>IF(OR(ISERROR(C10),C10="ERROR"),TRUE,FALSE)</formula>
    </cfRule>
  </conditionalFormatting>
  <conditionalFormatting sqref="C11">
    <cfRule type="expression" dxfId="571" priority="15">
      <formula>IF(OR(ISERROR(C11),C11="ERROR"),TRUE,FALSE)</formula>
    </cfRule>
  </conditionalFormatting>
  <conditionalFormatting sqref="B4:C4">
    <cfRule type="expression" dxfId="570" priority="10">
      <formula>IF(OR(ISERROR(B4),B4="ERROR"),TRUE,FALSE)</formula>
    </cfRule>
  </conditionalFormatting>
  <conditionalFormatting sqref="B3:C3">
    <cfRule type="expression" dxfId="569" priority="9">
      <formula>IF(OR(ISERROR(B3),B3="ERROR"),TRUE,FALSE)</formula>
    </cfRule>
  </conditionalFormatting>
  <conditionalFormatting sqref="D5:D13">
    <cfRule type="expression" dxfId="568" priority="1">
      <formula>IF(OR(ISERROR(D5),D5="ERROR"),TRUE,FALSE)</formula>
    </cfRule>
  </conditionalFormatting>
  <pageMargins left="0.7" right="0.7" top="0.75" bottom="0.75" header="0.3" footer="0.3"/>
  <pageSetup orientation="portrait" r:id="rId1"/>
  <drawing r:id="rId2"/>
  <legacyDrawing r:id="rId3"/>
  <oleObjects>
    <mc:AlternateContent xmlns:mc="http://schemas.openxmlformats.org/markup-compatibility/2006">
      <mc:Choice Requires="x14">
        <oleObject progId="AcroExch.Document.DC" dvAspect="DVASPECT_ICON" shapeId="130059" r:id="rId4">
          <objectPr defaultSize="0" r:id="rId5">
            <anchor moveWithCells="1">
              <from>
                <xdr:col>5</xdr:col>
                <xdr:colOff>123825</xdr:colOff>
                <xdr:row>5</xdr:row>
                <xdr:rowOff>66675</xdr:rowOff>
              </from>
              <to>
                <xdr:col>6</xdr:col>
                <xdr:colOff>428625</xdr:colOff>
                <xdr:row>9</xdr:row>
                <xdr:rowOff>66675</xdr:rowOff>
              </to>
            </anchor>
          </objectPr>
        </oleObject>
      </mc:Choice>
      <mc:Fallback>
        <oleObject progId="AcroExch.Document.DC" dvAspect="DVASPECT_ICON" shapeId="130059"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7"/>
  <dimension ref="A1:P2015"/>
  <sheetViews>
    <sheetView workbookViewId="0">
      <selection activeCell="C1" sqref="C1"/>
    </sheetView>
  </sheetViews>
  <sheetFormatPr defaultRowHeight="12.75" x14ac:dyDescent="0.2"/>
  <cols>
    <col min="1" max="1" width="3.7109375" customWidth="1"/>
    <col min="2" max="2" width="5" customWidth="1"/>
    <col min="3" max="3" width="7.140625" bestFit="1" customWidth="1"/>
    <col min="4" max="4" width="10.28515625" bestFit="1" customWidth="1"/>
    <col min="5" max="7" width="8" bestFit="1" customWidth="1"/>
    <col min="8" max="8" width="11.28515625" customWidth="1"/>
    <col min="9" max="9" width="12" customWidth="1"/>
    <col min="10" max="10" width="8" customWidth="1"/>
    <col min="11" max="11" width="7" customWidth="1"/>
    <col min="12" max="12" width="6" bestFit="1" customWidth="1"/>
    <col min="13" max="13" width="7" bestFit="1" customWidth="1"/>
    <col min="14" max="15" width="6" bestFit="1" customWidth="1"/>
    <col min="16" max="16" width="5" bestFit="1" customWidth="1"/>
    <col min="17" max="17" width="14.85546875" bestFit="1" customWidth="1"/>
    <col min="18" max="18" width="14.42578125" bestFit="1" customWidth="1"/>
    <col min="19" max="19" width="17" bestFit="1" customWidth="1"/>
  </cols>
  <sheetData>
    <row r="1" spans="1:16" x14ac:dyDescent="0.2">
      <c r="A1" t="s">
        <v>274</v>
      </c>
      <c r="B1" t="s">
        <v>393</v>
      </c>
      <c r="C1" t="s">
        <v>383</v>
      </c>
      <c r="D1" t="s">
        <v>394</v>
      </c>
      <c r="E1" t="s">
        <v>395</v>
      </c>
      <c r="F1" t="s">
        <v>396</v>
      </c>
      <c r="G1" t="s">
        <v>106</v>
      </c>
      <c r="H1" t="s">
        <v>397</v>
      </c>
      <c r="I1" t="s">
        <v>398</v>
      </c>
      <c r="J1" t="s">
        <v>399</v>
      </c>
      <c r="K1" t="s">
        <v>400</v>
      </c>
      <c r="L1" t="s">
        <v>401</v>
      </c>
      <c r="M1" t="s">
        <v>402</v>
      </c>
      <c r="N1" t="s">
        <v>403</v>
      </c>
      <c r="O1" t="s">
        <v>178</v>
      </c>
      <c r="P1" t="s">
        <v>404</v>
      </c>
    </row>
    <row r="2" spans="1:16" x14ac:dyDescent="0.2">
      <c r="A2" t="s">
        <v>342</v>
      </c>
      <c r="B2" t="s">
        <v>349</v>
      </c>
      <c r="C2" t="s">
        <v>387</v>
      </c>
      <c r="D2" t="s">
        <v>384</v>
      </c>
      <c r="E2">
        <v>4</v>
      </c>
      <c r="F2">
        <v>2</v>
      </c>
      <c r="G2">
        <v>224.75</v>
      </c>
      <c r="I2">
        <v>7</v>
      </c>
      <c r="K2">
        <v>333.29</v>
      </c>
    </row>
    <row r="3" spans="1:16" x14ac:dyDescent="0.2">
      <c r="A3" t="s">
        <v>342</v>
      </c>
      <c r="B3" t="s">
        <v>349</v>
      </c>
      <c r="C3" t="s">
        <v>388</v>
      </c>
      <c r="D3" t="s">
        <v>384</v>
      </c>
      <c r="E3">
        <v>4</v>
      </c>
      <c r="F3">
        <v>1</v>
      </c>
      <c r="G3">
        <v>56.25</v>
      </c>
      <c r="H3">
        <v>1</v>
      </c>
      <c r="I3">
        <v>16</v>
      </c>
      <c r="J3">
        <v>1</v>
      </c>
      <c r="K3">
        <v>255.06</v>
      </c>
    </row>
    <row r="4" spans="1:16" x14ac:dyDescent="0.2">
      <c r="A4" t="s">
        <v>341</v>
      </c>
      <c r="B4" t="s">
        <v>417</v>
      </c>
      <c r="C4" t="s">
        <v>481</v>
      </c>
      <c r="D4" t="s">
        <v>390</v>
      </c>
      <c r="E4">
        <v>298</v>
      </c>
      <c r="F4">
        <v>123</v>
      </c>
      <c r="G4">
        <v>131.35</v>
      </c>
      <c r="L4">
        <v>30</v>
      </c>
      <c r="M4">
        <v>166</v>
      </c>
      <c r="N4">
        <v>49</v>
      </c>
      <c r="O4">
        <v>43</v>
      </c>
      <c r="P4">
        <v>10</v>
      </c>
    </row>
    <row r="5" spans="1:16" x14ac:dyDescent="0.2">
      <c r="A5" t="s">
        <v>341</v>
      </c>
      <c r="B5" t="s">
        <v>346</v>
      </c>
      <c r="C5" t="s">
        <v>481</v>
      </c>
      <c r="D5" t="s">
        <v>390</v>
      </c>
      <c r="E5">
        <v>290</v>
      </c>
      <c r="F5">
        <v>122</v>
      </c>
      <c r="G5">
        <v>132.93</v>
      </c>
      <c r="L5">
        <v>26</v>
      </c>
      <c r="M5">
        <v>165</v>
      </c>
      <c r="N5">
        <v>49</v>
      </c>
      <c r="O5">
        <v>42</v>
      </c>
      <c r="P5">
        <v>8</v>
      </c>
    </row>
    <row r="6" spans="1:16" x14ac:dyDescent="0.2">
      <c r="A6" t="s">
        <v>341</v>
      </c>
      <c r="B6" t="s">
        <v>347</v>
      </c>
      <c r="C6" t="s">
        <v>481</v>
      </c>
      <c r="D6" t="s">
        <v>390</v>
      </c>
      <c r="E6">
        <v>8</v>
      </c>
      <c r="F6">
        <v>1</v>
      </c>
      <c r="G6">
        <v>74</v>
      </c>
      <c r="L6">
        <v>4</v>
      </c>
      <c r="M6">
        <v>1</v>
      </c>
      <c r="O6">
        <v>1</v>
      </c>
      <c r="P6">
        <v>2</v>
      </c>
    </row>
    <row r="7" spans="1:16" x14ac:dyDescent="0.2">
      <c r="A7" t="s">
        <v>341</v>
      </c>
      <c r="B7" t="s">
        <v>417</v>
      </c>
      <c r="C7" t="s">
        <v>482</v>
      </c>
      <c r="D7" t="s">
        <v>390</v>
      </c>
      <c r="E7">
        <v>69</v>
      </c>
      <c r="F7">
        <v>11</v>
      </c>
      <c r="G7">
        <v>100.74</v>
      </c>
      <c r="L7">
        <v>11</v>
      </c>
      <c r="M7">
        <v>47</v>
      </c>
      <c r="N7">
        <v>7</v>
      </c>
      <c r="O7">
        <v>3</v>
      </c>
      <c r="P7">
        <v>1</v>
      </c>
    </row>
    <row r="8" spans="1:16" x14ac:dyDescent="0.2">
      <c r="A8" t="s">
        <v>341</v>
      </c>
      <c r="B8" t="s">
        <v>346</v>
      </c>
      <c r="C8" t="s">
        <v>482</v>
      </c>
      <c r="D8" t="s">
        <v>390</v>
      </c>
      <c r="E8">
        <v>69</v>
      </c>
      <c r="F8">
        <v>11</v>
      </c>
      <c r="G8">
        <v>100.74</v>
      </c>
      <c r="L8">
        <v>11</v>
      </c>
      <c r="M8">
        <v>47</v>
      </c>
      <c r="N8">
        <v>7</v>
      </c>
      <c r="O8">
        <v>3</v>
      </c>
      <c r="P8">
        <v>1</v>
      </c>
    </row>
    <row r="9" spans="1:16" x14ac:dyDescent="0.2">
      <c r="A9" t="s">
        <v>341</v>
      </c>
      <c r="B9" t="s">
        <v>417</v>
      </c>
      <c r="C9" t="s">
        <v>483</v>
      </c>
      <c r="D9" t="s">
        <v>390</v>
      </c>
      <c r="E9">
        <v>758</v>
      </c>
      <c r="F9">
        <v>172</v>
      </c>
      <c r="G9">
        <v>99.32</v>
      </c>
      <c r="L9">
        <v>9</v>
      </c>
      <c r="M9">
        <v>550</v>
      </c>
      <c r="N9">
        <v>192</v>
      </c>
      <c r="O9">
        <v>7</v>
      </c>
    </row>
    <row r="10" spans="1:16" x14ac:dyDescent="0.2">
      <c r="A10" t="s">
        <v>341</v>
      </c>
      <c r="B10" t="s">
        <v>346</v>
      </c>
      <c r="C10" t="s">
        <v>483</v>
      </c>
      <c r="D10" t="s">
        <v>390</v>
      </c>
      <c r="E10">
        <v>734</v>
      </c>
      <c r="F10">
        <v>167</v>
      </c>
      <c r="G10">
        <v>99.19</v>
      </c>
      <c r="L10">
        <v>5</v>
      </c>
      <c r="M10">
        <v>535</v>
      </c>
      <c r="N10">
        <v>192</v>
      </c>
      <c r="O10">
        <v>2</v>
      </c>
    </row>
    <row r="11" spans="1:16" x14ac:dyDescent="0.2">
      <c r="A11" t="s">
        <v>341</v>
      </c>
      <c r="B11" t="s">
        <v>347</v>
      </c>
      <c r="C11" t="s">
        <v>483</v>
      </c>
      <c r="D11" t="s">
        <v>390</v>
      </c>
      <c r="E11">
        <v>24</v>
      </c>
      <c r="F11">
        <v>5</v>
      </c>
      <c r="G11">
        <v>103</v>
      </c>
      <c r="L11">
        <v>4</v>
      </c>
      <c r="M11">
        <v>15</v>
      </c>
      <c r="O11">
        <v>5</v>
      </c>
    </row>
    <row r="12" spans="1:16" x14ac:dyDescent="0.2">
      <c r="A12" t="s">
        <v>341</v>
      </c>
      <c r="B12" t="s">
        <v>417</v>
      </c>
      <c r="C12" t="s">
        <v>484</v>
      </c>
      <c r="D12" t="s">
        <v>390</v>
      </c>
      <c r="E12">
        <v>2370</v>
      </c>
      <c r="F12">
        <v>720</v>
      </c>
      <c r="G12">
        <v>104.29</v>
      </c>
      <c r="L12">
        <v>346</v>
      </c>
      <c r="M12">
        <v>1261</v>
      </c>
      <c r="N12">
        <v>348</v>
      </c>
      <c r="O12">
        <v>349</v>
      </c>
      <c r="P12">
        <v>66</v>
      </c>
    </row>
    <row r="13" spans="1:16" x14ac:dyDescent="0.2">
      <c r="A13" t="s">
        <v>341</v>
      </c>
      <c r="B13" t="s">
        <v>346</v>
      </c>
      <c r="C13" t="s">
        <v>484</v>
      </c>
      <c r="D13" t="s">
        <v>390</v>
      </c>
      <c r="E13">
        <v>2211</v>
      </c>
      <c r="F13">
        <v>669</v>
      </c>
      <c r="G13">
        <v>105.1</v>
      </c>
      <c r="L13">
        <v>271</v>
      </c>
      <c r="M13">
        <v>1223</v>
      </c>
      <c r="N13">
        <v>345</v>
      </c>
      <c r="O13">
        <v>315</v>
      </c>
      <c r="P13">
        <v>57</v>
      </c>
    </row>
    <row r="14" spans="1:16" x14ac:dyDescent="0.2">
      <c r="A14" t="s">
        <v>341</v>
      </c>
      <c r="B14" t="s">
        <v>347</v>
      </c>
      <c r="C14" t="s">
        <v>484</v>
      </c>
      <c r="D14" t="s">
        <v>390</v>
      </c>
      <c r="E14">
        <v>155</v>
      </c>
      <c r="F14">
        <v>49</v>
      </c>
      <c r="G14">
        <v>89.43</v>
      </c>
      <c r="L14">
        <v>74</v>
      </c>
      <c r="M14">
        <v>36</v>
      </c>
      <c r="N14">
        <v>2</v>
      </c>
      <c r="O14">
        <v>34</v>
      </c>
      <c r="P14">
        <v>9</v>
      </c>
    </row>
    <row r="15" spans="1:16" x14ac:dyDescent="0.2">
      <c r="A15" t="s">
        <v>341</v>
      </c>
      <c r="B15" t="s">
        <v>348</v>
      </c>
      <c r="C15" t="s">
        <v>484</v>
      </c>
      <c r="D15" t="s">
        <v>390</v>
      </c>
      <c r="E15">
        <v>3</v>
      </c>
      <c r="F15">
        <v>1</v>
      </c>
      <c r="G15">
        <v>126.33</v>
      </c>
      <c r="L15">
        <v>1</v>
      </c>
      <c r="M15">
        <v>1</v>
      </c>
      <c r="N15">
        <v>1</v>
      </c>
    </row>
    <row r="16" spans="1:16" x14ac:dyDescent="0.2">
      <c r="A16" t="s">
        <v>341</v>
      </c>
      <c r="B16" t="s">
        <v>349</v>
      </c>
      <c r="C16" t="s">
        <v>484</v>
      </c>
      <c r="D16" t="s">
        <v>390</v>
      </c>
      <c r="E16">
        <v>1</v>
      </c>
      <c r="F16">
        <v>1</v>
      </c>
      <c r="G16">
        <v>562</v>
      </c>
      <c r="M16">
        <v>1</v>
      </c>
    </row>
    <row r="17" spans="1:16" x14ac:dyDescent="0.2">
      <c r="A17" t="s">
        <v>341</v>
      </c>
      <c r="B17" t="s">
        <v>417</v>
      </c>
      <c r="C17" t="s">
        <v>485</v>
      </c>
      <c r="D17" t="s">
        <v>390</v>
      </c>
      <c r="E17">
        <v>538</v>
      </c>
      <c r="F17">
        <v>96</v>
      </c>
      <c r="G17">
        <v>88.72</v>
      </c>
      <c r="L17">
        <v>102</v>
      </c>
      <c r="M17">
        <v>356</v>
      </c>
      <c r="N17">
        <v>65</v>
      </c>
      <c r="O17">
        <v>10</v>
      </c>
      <c r="P17">
        <v>5</v>
      </c>
    </row>
    <row r="18" spans="1:16" x14ac:dyDescent="0.2">
      <c r="A18" t="s">
        <v>341</v>
      </c>
      <c r="B18" t="s">
        <v>346</v>
      </c>
      <c r="C18" t="s">
        <v>485</v>
      </c>
      <c r="D18" t="s">
        <v>390</v>
      </c>
      <c r="E18">
        <v>534</v>
      </c>
      <c r="F18">
        <v>95</v>
      </c>
      <c r="G18">
        <v>87.72</v>
      </c>
      <c r="L18">
        <v>101</v>
      </c>
      <c r="M18">
        <v>353</v>
      </c>
      <c r="N18">
        <v>65</v>
      </c>
      <c r="O18">
        <v>10</v>
      </c>
      <c r="P18">
        <v>5</v>
      </c>
    </row>
    <row r="19" spans="1:16" x14ac:dyDescent="0.2">
      <c r="A19" t="s">
        <v>341</v>
      </c>
      <c r="B19" t="s">
        <v>348</v>
      </c>
      <c r="C19" t="s">
        <v>485</v>
      </c>
      <c r="D19" t="s">
        <v>390</v>
      </c>
      <c r="E19">
        <v>4</v>
      </c>
      <c r="F19">
        <v>1</v>
      </c>
      <c r="G19">
        <v>222</v>
      </c>
      <c r="L19">
        <v>1</v>
      </c>
      <c r="M19">
        <v>3</v>
      </c>
    </row>
    <row r="20" spans="1:16" x14ac:dyDescent="0.2">
      <c r="A20" t="s">
        <v>341</v>
      </c>
      <c r="B20" t="s">
        <v>417</v>
      </c>
      <c r="C20" t="s">
        <v>486</v>
      </c>
      <c r="D20" t="s">
        <v>390</v>
      </c>
      <c r="E20">
        <v>6218</v>
      </c>
      <c r="F20">
        <v>1085</v>
      </c>
      <c r="G20">
        <v>85.27</v>
      </c>
      <c r="L20">
        <v>303</v>
      </c>
      <c r="M20">
        <v>3984</v>
      </c>
      <c r="N20">
        <v>1769</v>
      </c>
      <c r="O20">
        <v>162</v>
      </c>
    </row>
    <row r="21" spans="1:16" x14ac:dyDescent="0.2">
      <c r="A21" t="s">
        <v>341</v>
      </c>
      <c r="B21" t="s">
        <v>346</v>
      </c>
      <c r="C21" t="s">
        <v>486</v>
      </c>
      <c r="D21" t="s">
        <v>390</v>
      </c>
      <c r="E21">
        <v>5528</v>
      </c>
      <c r="F21">
        <v>1001</v>
      </c>
      <c r="G21">
        <v>86.41</v>
      </c>
      <c r="L21">
        <v>64</v>
      </c>
      <c r="M21">
        <v>3678</v>
      </c>
      <c r="N21">
        <v>1762</v>
      </c>
      <c r="O21">
        <v>24</v>
      </c>
    </row>
    <row r="22" spans="1:16" x14ac:dyDescent="0.2">
      <c r="A22" t="s">
        <v>341</v>
      </c>
      <c r="B22" t="s">
        <v>347</v>
      </c>
      <c r="C22" t="s">
        <v>486</v>
      </c>
      <c r="D22" t="s">
        <v>390</v>
      </c>
      <c r="E22">
        <v>679</v>
      </c>
      <c r="F22">
        <v>82</v>
      </c>
      <c r="G22">
        <v>73.989999999999995</v>
      </c>
      <c r="L22">
        <v>239</v>
      </c>
      <c r="M22">
        <v>300</v>
      </c>
      <c r="N22">
        <v>3</v>
      </c>
      <c r="O22">
        <v>137</v>
      </c>
    </row>
    <row r="23" spans="1:16" x14ac:dyDescent="0.2">
      <c r="A23" t="s">
        <v>341</v>
      </c>
      <c r="B23" t="s">
        <v>348</v>
      </c>
      <c r="C23" t="s">
        <v>486</v>
      </c>
      <c r="D23" t="s">
        <v>390</v>
      </c>
      <c r="E23">
        <v>11</v>
      </c>
      <c r="F23">
        <v>2</v>
      </c>
      <c r="G23">
        <v>210.73</v>
      </c>
      <c r="M23">
        <v>6</v>
      </c>
      <c r="N23">
        <v>4</v>
      </c>
      <c r="O23">
        <v>1</v>
      </c>
    </row>
    <row r="24" spans="1:16" x14ac:dyDescent="0.2">
      <c r="A24" t="s">
        <v>341</v>
      </c>
      <c r="B24" t="s">
        <v>417</v>
      </c>
      <c r="C24" t="s">
        <v>487</v>
      </c>
      <c r="D24" t="s">
        <v>390</v>
      </c>
      <c r="E24">
        <v>910</v>
      </c>
      <c r="F24">
        <v>327</v>
      </c>
      <c r="G24">
        <v>117.22</v>
      </c>
      <c r="L24">
        <v>150</v>
      </c>
      <c r="M24">
        <v>457</v>
      </c>
      <c r="N24">
        <v>149</v>
      </c>
      <c r="O24">
        <v>122</v>
      </c>
      <c r="P24">
        <v>32</v>
      </c>
    </row>
    <row r="25" spans="1:16" x14ac:dyDescent="0.2">
      <c r="A25" t="s">
        <v>341</v>
      </c>
      <c r="B25" t="s">
        <v>346</v>
      </c>
      <c r="C25" t="s">
        <v>487</v>
      </c>
      <c r="D25" t="s">
        <v>390</v>
      </c>
      <c r="E25">
        <v>838</v>
      </c>
      <c r="F25">
        <v>297</v>
      </c>
      <c r="G25">
        <v>117.18</v>
      </c>
      <c r="L25">
        <v>126</v>
      </c>
      <c r="M25">
        <v>437</v>
      </c>
      <c r="N25">
        <v>143</v>
      </c>
      <c r="O25">
        <v>103</v>
      </c>
      <c r="P25">
        <v>29</v>
      </c>
    </row>
    <row r="26" spans="1:16" x14ac:dyDescent="0.2">
      <c r="A26" t="s">
        <v>341</v>
      </c>
      <c r="B26" t="s">
        <v>347</v>
      </c>
      <c r="C26" t="s">
        <v>487</v>
      </c>
      <c r="D26" t="s">
        <v>390</v>
      </c>
      <c r="E26">
        <v>70</v>
      </c>
      <c r="F26">
        <v>28</v>
      </c>
      <c r="G26">
        <v>115.01</v>
      </c>
      <c r="L26">
        <v>24</v>
      </c>
      <c r="M26">
        <v>18</v>
      </c>
      <c r="N26">
        <v>6</v>
      </c>
      <c r="O26">
        <v>19</v>
      </c>
      <c r="P26">
        <v>3</v>
      </c>
    </row>
    <row r="27" spans="1:16" x14ac:dyDescent="0.2">
      <c r="A27" t="s">
        <v>341</v>
      </c>
      <c r="B27" t="s">
        <v>348</v>
      </c>
      <c r="C27" t="s">
        <v>487</v>
      </c>
      <c r="D27" t="s">
        <v>390</v>
      </c>
      <c r="E27">
        <v>2</v>
      </c>
      <c r="F27">
        <v>2</v>
      </c>
      <c r="G27">
        <v>213</v>
      </c>
      <c r="M27">
        <v>2</v>
      </c>
    </row>
    <row r="28" spans="1:16" x14ac:dyDescent="0.2">
      <c r="A28" t="s">
        <v>341</v>
      </c>
      <c r="B28" t="s">
        <v>417</v>
      </c>
      <c r="C28" t="s">
        <v>488</v>
      </c>
      <c r="D28" t="s">
        <v>390</v>
      </c>
      <c r="E28">
        <v>416</v>
      </c>
      <c r="F28">
        <v>32</v>
      </c>
      <c r="G28">
        <v>79.77</v>
      </c>
      <c r="L28">
        <v>47</v>
      </c>
      <c r="M28">
        <v>325</v>
      </c>
      <c r="N28">
        <v>19</v>
      </c>
      <c r="O28">
        <v>22</v>
      </c>
      <c r="P28">
        <v>3</v>
      </c>
    </row>
    <row r="29" spans="1:16" x14ac:dyDescent="0.2">
      <c r="A29" t="s">
        <v>341</v>
      </c>
      <c r="B29" t="s">
        <v>346</v>
      </c>
      <c r="C29" t="s">
        <v>488</v>
      </c>
      <c r="D29" t="s">
        <v>390</v>
      </c>
      <c r="E29">
        <v>416</v>
      </c>
      <c r="F29">
        <v>32</v>
      </c>
      <c r="G29">
        <v>79.77</v>
      </c>
      <c r="L29">
        <v>47</v>
      </c>
      <c r="M29">
        <v>325</v>
      </c>
      <c r="N29">
        <v>19</v>
      </c>
      <c r="O29">
        <v>22</v>
      </c>
      <c r="P29">
        <v>3</v>
      </c>
    </row>
    <row r="30" spans="1:16" x14ac:dyDescent="0.2">
      <c r="A30" t="s">
        <v>341</v>
      </c>
      <c r="B30" t="s">
        <v>417</v>
      </c>
      <c r="C30" t="s">
        <v>489</v>
      </c>
      <c r="D30" t="s">
        <v>390</v>
      </c>
      <c r="E30">
        <v>2771</v>
      </c>
      <c r="F30">
        <v>465</v>
      </c>
      <c r="G30">
        <v>85.46</v>
      </c>
      <c r="L30">
        <v>117</v>
      </c>
      <c r="M30">
        <v>1736</v>
      </c>
      <c r="N30">
        <v>860</v>
      </c>
      <c r="O30">
        <v>58</v>
      </c>
    </row>
    <row r="31" spans="1:16" x14ac:dyDescent="0.2">
      <c r="A31" t="s">
        <v>341</v>
      </c>
      <c r="B31" t="s">
        <v>346</v>
      </c>
      <c r="C31" t="s">
        <v>489</v>
      </c>
      <c r="D31" t="s">
        <v>390</v>
      </c>
      <c r="E31">
        <v>2477</v>
      </c>
      <c r="F31">
        <v>424</v>
      </c>
      <c r="G31">
        <v>86.32</v>
      </c>
      <c r="L31">
        <v>22</v>
      </c>
      <c r="M31">
        <v>1589</v>
      </c>
      <c r="N31">
        <v>859</v>
      </c>
      <c r="O31">
        <v>7</v>
      </c>
    </row>
    <row r="32" spans="1:16" x14ac:dyDescent="0.2">
      <c r="A32" t="s">
        <v>341</v>
      </c>
      <c r="B32" t="s">
        <v>347</v>
      </c>
      <c r="C32" t="s">
        <v>489</v>
      </c>
      <c r="D32" t="s">
        <v>390</v>
      </c>
      <c r="E32">
        <v>291</v>
      </c>
      <c r="F32">
        <v>41</v>
      </c>
      <c r="G32">
        <v>78.38</v>
      </c>
      <c r="L32">
        <v>95</v>
      </c>
      <c r="M32">
        <v>145</v>
      </c>
      <c r="O32">
        <v>51</v>
      </c>
    </row>
    <row r="33" spans="1:16" x14ac:dyDescent="0.2">
      <c r="A33" t="s">
        <v>341</v>
      </c>
      <c r="B33" t="s">
        <v>348</v>
      </c>
      <c r="C33" t="s">
        <v>489</v>
      </c>
      <c r="D33" t="s">
        <v>390</v>
      </c>
      <c r="E33">
        <v>3</v>
      </c>
      <c r="G33">
        <v>55</v>
      </c>
      <c r="M33">
        <v>2</v>
      </c>
      <c r="N33">
        <v>1</v>
      </c>
    </row>
    <row r="34" spans="1:16" x14ac:dyDescent="0.2">
      <c r="A34" t="s">
        <v>341</v>
      </c>
      <c r="B34" t="s">
        <v>417</v>
      </c>
      <c r="C34" t="s">
        <v>490</v>
      </c>
      <c r="D34" t="s">
        <v>390</v>
      </c>
      <c r="E34">
        <v>1979</v>
      </c>
      <c r="F34">
        <v>675</v>
      </c>
      <c r="G34">
        <v>115.78</v>
      </c>
      <c r="L34">
        <v>278</v>
      </c>
      <c r="M34">
        <v>1095</v>
      </c>
      <c r="N34">
        <v>249</v>
      </c>
      <c r="O34">
        <v>290</v>
      </c>
      <c r="P34">
        <v>67</v>
      </c>
    </row>
    <row r="35" spans="1:16" x14ac:dyDescent="0.2">
      <c r="A35" t="s">
        <v>341</v>
      </c>
      <c r="B35" t="s">
        <v>346</v>
      </c>
      <c r="C35" t="s">
        <v>490</v>
      </c>
      <c r="D35" t="s">
        <v>390</v>
      </c>
      <c r="E35">
        <v>1779</v>
      </c>
      <c r="F35">
        <v>578</v>
      </c>
      <c r="G35">
        <v>114.34</v>
      </c>
      <c r="L35">
        <v>219</v>
      </c>
      <c r="M35">
        <v>1035</v>
      </c>
      <c r="N35">
        <v>242</v>
      </c>
      <c r="O35">
        <v>228</v>
      </c>
      <c r="P35">
        <v>55</v>
      </c>
    </row>
    <row r="36" spans="1:16" x14ac:dyDescent="0.2">
      <c r="A36" t="s">
        <v>341</v>
      </c>
      <c r="B36" t="s">
        <v>347</v>
      </c>
      <c r="C36" t="s">
        <v>490</v>
      </c>
      <c r="D36" t="s">
        <v>390</v>
      </c>
      <c r="E36">
        <v>197</v>
      </c>
      <c r="F36">
        <v>94</v>
      </c>
      <c r="G36">
        <v>120</v>
      </c>
      <c r="L36">
        <v>59</v>
      </c>
      <c r="M36">
        <v>58</v>
      </c>
      <c r="N36">
        <v>7</v>
      </c>
      <c r="O36">
        <v>61</v>
      </c>
      <c r="P36">
        <v>12</v>
      </c>
    </row>
    <row r="37" spans="1:16" x14ac:dyDescent="0.2">
      <c r="A37" t="s">
        <v>341</v>
      </c>
      <c r="B37" t="s">
        <v>348</v>
      </c>
      <c r="C37" t="s">
        <v>490</v>
      </c>
      <c r="D37" t="s">
        <v>390</v>
      </c>
      <c r="E37">
        <v>3</v>
      </c>
      <c r="F37">
        <v>3</v>
      </c>
      <c r="G37">
        <v>690</v>
      </c>
      <c r="M37">
        <v>2</v>
      </c>
      <c r="O37">
        <v>1</v>
      </c>
    </row>
    <row r="38" spans="1:16" x14ac:dyDescent="0.2">
      <c r="A38" t="s">
        <v>341</v>
      </c>
      <c r="B38" t="s">
        <v>417</v>
      </c>
      <c r="C38" t="s">
        <v>491</v>
      </c>
      <c r="D38" t="s">
        <v>390</v>
      </c>
      <c r="E38">
        <v>398</v>
      </c>
      <c r="F38">
        <v>63</v>
      </c>
      <c r="G38">
        <v>86.85</v>
      </c>
      <c r="L38">
        <v>45</v>
      </c>
      <c r="M38">
        <v>252</v>
      </c>
      <c r="N38">
        <v>51</v>
      </c>
      <c r="O38">
        <v>34</v>
      </c>
      <c r="P38">
        <v>16</v>
      </c>
    </row>
    <row r="39" spans="1:16" x14ac:dyDescent="0.2">
      <c r="A39" t="s">
        <v>341</v>
      </c>
      <c r="B39" t="s">
        <v>346</v>
      </c>
      <c r="C39" t="s">
        <v>491</v>
      </c>
      <c r="D39" t="s">
        <v>390</v>
      </c>
      <c r="E39">
        <v>397</v>
      </c>
      <c r="F39">
        <v>63</v>
      </c>
      <c r="G39">
        <v>86.94</v>
      </c>
      <c r="L39">
        <v>45</v>
      </c>
      <c r="M39">
        <v>252</v>
      </c>
      <c r="N39">
        <v>50</v>
      </c>
      <c r="O39">
        <v>34</v>
      </c>
      <c r="P39">
        <v>16</v>
      </c>
    </row>
    <row r="40" spans="1:16" x14ac:dyDescent="0.2">
      <c r="A40" t="s">
        <v>341</v>
      </c>
      <c r="B40" t="s">
        <v>348</v>
      </c>
      <c r="C40" t="s">
        <v>491</v>
      </c>
      <c r="D40" t="s">
        <v>390</v>
      </c>
      <c r="E40">
        <v>1</v>
      </c>
      <c r="G40">
        <v>49</v>
      </c>
      <c r="N40">
        <v>1</v>
      </c>
    </row>
    <row r="41" spans="1:16" x14ac:dyDescent="0.2">
      <c r="A41" t="s">
        <v>341</v>
      </c>
      <c r="B41" t="s">
        <v>417</v>
      </c>
      <c r="C41" t="s">
        <v>492</v>
      </c>
      <c r="D41" t="s">
        <v>390</v>
      </c>
      <c r="E41">
        <v>5265</v>
      </c>
      <c r="F41">
        <v>1018</v>
      </c>
      <c r="G41">
        <v>91.64</v>
      </c>
      <c r="L41">
        <v>168</v>
      </c>
      <c r="M41">
        <v>3686</v>
      </c>
      <c r="N41">
        <v>1313</v>
      </c>
      <c r="O41">
        <v>98</v>
      </c>
    </row>
    <row r="42" spans="1:16" x14ac:dyDescent="0.2">
      <c r="A42" t="s">
        <v>341</v>
      </c>
      <c r="B42" t="s">
        <v>346</v>
      </c>
      <c r="C42" t="s">
        <v>492</v>
      </c>
      <c r="D42" t="s">
        <v>390</v>
      </c>
      <c r="E42">
        <v>4728</v>
      </c>
      <c r="F42">
        <v>924</v>
      </c>
      <c r="G42">
        <v>91.73</v>
      </c>
      <c r="L42">
        <v>46</v>
      </c>
      <c r="M42">
        <v>3363</v>
      </c>
      <c r="N42">
        <v>1310</v>
      </c>
      <c r="O42">
        <v>9</v>
      </c>
    </row>
    <row r="43" spans="1:16" x14ac:dyDescent="0.2">
      <c r="A43" t="s">
        <v>341</v>
      </c>
      <c r="B43" t="s">
        <v>347</v>
      </c>
      <c r="C43" t="s">
        <v>492</v>
      </c>
      <c r="D43" t="s">
        <v>390</v>
      </c>
      <c r="E43">
        <v>535</v>
      </c>
      <c r="F43">
        <v>93</v>
      </c>
      <c r="G43">
        <v>90.6</v>
      </c>
      <c r="L43">
        <v>122</v>
      </c>
      <c r="M43">
        <v>322</v>
      </c>
      <c r="N43">
        <v>2</v>
      </c>
      <c r="O43">
        <v>89</v>
      </c>
    </row>
    <row r="44" spans="1:16" x14ac:dyDescent="0.2">
      <c r="A44" t="s">
        <v>341</v>
      </c>
      <c r="B44" t="s">
        <v>348</v>
      </c>
      <c r="C44" t="s">
        <v>492</v>
      </c>
      <c r="D44" t="s">
        <v>390</v>
      </c>
      <c r="E44">
        <v>2</v>
      </c>
      <c r="F44">
        <v>1</v>
      </c>
      <c r="G44">
        <v>171</v>
      </c>
      <c r="M44">
        <v>1</v>
      </c>
      <c r="N44">
        <v>1</v>
      </c>
    </row>
    <row r="45" spans="1:16" x14ac:dyDescent="0.2">
      <c r="A45" t="s">
        <v>341</v>
      </c>
      <c r="B45" t="s">
        <v>417</v>
      </c>
      <c r="C45" t="s">
        <v>493</v>
      </c>
      <c r="D45" t="s">
        <v>390</v>
      </c>
      <c r="E45">
        <v>8696</v>
      </c>
      <c r="F45">
        <v>3035</v>
      </c>
      <c r="G45">
        <v>116.35</v>
      </c>
      <c r="L45">
        <v>1011</v>
      </c>
      <c r="M45">
        <v>4986</v>
      </c>
      <c r="N45">
        <v>1122</v>
      </c>
      <c r="O45">
        <v>1290</v>
      </c>
      <c r="P45">
        <v>287</v>
      </c>
    </row>
    <row r="46" spans="1:16" x14ac:dyDescent="0.2">
      <c r="A46" t="s">
        <v>341</v>
      </c>
      <c r="B46" t="s">
        <v>346</v>
      </c>
      <c r="C46" t="s">
        <v>493</v>
      </c>
      <c r="D46" t="s">
        <v>390</v>
      </c>
      <c r="E46">
        <v>8121</v>
      </c>
      <c r="F46">
        <v>2757</v>
      </c>
      <c r="G46">
        <v>115.91</v>
      </c>
      <c r="L46">
        <v>856</v>
      </c>
      <c r="M46">
        <v>4832</v>
      </c>
      <c r="N46">
        <v>1104</v>
      </c>
      <c r="O46">
        <v>1083</v>
      </c>
      <c r="P46">
        <v>246</v>
      </c>
    </row>
    <row r="47" spans="1:16" x14ac:dyDescent="0.2">
      <c r="A47" t="s">
        <v>341</v>
      </c>
      <c r="B47" t="s">
        <v>347</v>
      </c>
      <c r="C47" t="s">
        <v>493</v>
      </c>
      <c r="D47" t="s">
        <v>390</v>
      </c>
      <c r="E47">
        <v>559</v>
      </c>
      <c r="F47">
        <v>273</v>
      </c>
      <c r="G47">
        <v>122.4</v>
      </c>
      <c r="L47">
        <v>151</v>
      </c>
      <c r="M47">
        <v>149</v>
      </c>
      <c r="N47">
        <v>12</v>
      </c>
      <c r="O47">
        <v>206</v>
      </c>
      <c r="P47">
        <v>41</v>
      </c>
    </row>
    <row r="48" spans="1:16" x14ac:dyDescent="0.2">
      <c r="A48" t="s">
        <v>341</v>
      </c>
      <c r="B48" t="s">
        <v>348</v>
      </c>
      <c r="C48" t="s">
        <v>493</v>
      </c>
      <c r="D48" t="s">
        <v>390</v>
      </c>
      <c r="E48">
        <v>15</v>
      </c>
      <c r="F48">
        <v>4</v>
      </c>
      <c r="G48">
        <v>129.27000000000001</v>
      </c>
      <c r="L48">
        <v>4</v>
      </c>
      <c r="M48">
        <v>5</v>
      </c>
      <c r="N48">
        <v>5</v>
      </c>
      <c r="O48">
        <v>1</v>
      </c>
    </row>
    <row r="49" spans="1:16" x14ac:dyDescent="0.2">
      <c r="A49" t="s">
        <v>341</v>
      </c>
      <c r="B49" t="s">
        <v>349</v>
      </c>
      <c r="C49" t="s">
        <v>493</v>
      </c>
      <c r="D49" t="s">
        <v>390</v>
      </c>
      <c r="E49">
        <v>1</v>
      </c>
      <c r="F49">
        <v>1</v>
      </c>
      <c r="G49">
        <v>161</v>
      </c>
      <c r="N49">
        <v>1</v>
      </c>
    </row>
    <row r="50" spans="1:16" x14ac:dyDescent="0.2">
      <c r="A50" t="s">
        <v>341</v>
      </c>
      <c r="B50" t="s">
        <v>417</v>
      </c>
      <c r="C50" t="s">
        <v>494</v>
      </c>
      <c r="D50" t="s">
        <v>390</v>
      </c>
      <c r="E50">
        <v>576</v>
      </c>
      <c r="F50">
        <v>185</v>
      </c>
      <c r="G50">
        <v>121.23</v>
      </c>
      <c r="L50">
        <v>71</v>
      </c>
      <c r="M50">
        <v>374</v>
      </c>
      <c r="N50">
        <v>71</v>
      </c>
      <c r="O50">
        <v>44</v>
      </c>
      <c r="P50">
        <v>16</v>
      </c>
    </row>
    <row r="51" spans="1:16" x14ac:dyDescent="0.2">
      <c r="A51" t="s">
        <v>341</v>
      </c>
      <c r="B51" t="s">
        <v>346</v>
      </c>
      <c r="C51" t="s">
        <v>494</v>
      </c>
      <c r="D51" t="s">
        <v>390</v>
      </c>
      <c r="E51">
        <v>575</v>
      </c>
      <c r="F51">
        <v>185</v>
      </c>
      <c r="G51">
        <v>121.37</v>
      </c>
      <c r="L51">
        <v>71</v>
      </c>
      <c r="M51">
        <v>374</v>
      </c>
      <c r="N51">
        <v>70</v>
      </c>
      <c r="O51">
        <v>44</v>
      </c>
      <c r="P51">
        <v>16</v>
      </c>
    </row>
    <row r="52" spans="1:16" x14ac:dyDescent="0.2">
      <c r="A52" t="s">
        <v>341</v>
      </c>
      <c r="B52" t="s">
        <v>348</v>
      </c>
      <c r="C52" t="s">
        <v>494</v>
      </c>
      <c r="D52" t="s">
        <v>390</v>
      </c>
      <c r="E52">
        <v>1</v>
      </c>
      <c r="G52">
        <v>41</v>
      </c>
      <c r="N52">
        <v>1</v>
      </c>
    </row>
    <row r="53" spans="1:16" x14ac:dyDescent="0.2">
      <c r="A53" t="s">
        <v>341</v>
      </c>
      <c r="B53" t="s">
        <v>417</v>
      </c>
      <c r="C53" t="s">
        <v>495</v>
      </c>
      <c r="D53" t="s">
        <v>390</v>
      </c>
      <c r="E53">
        <v>810</v>
      </c>
      <c r="F53">
        <v>232</v>
      </c>
      <c r="G53">
        <v>111.08</v>
      </c>
      <c r="L53">
        <v>119</v>
      </c>
      <c r="M53">
        <v>512</v>
      </c>
      <c r="N53">
        <v>106</v>
      </c>
      <c r="O53">
        <v>50</v>
      </c>
      <c r="P53">
        <v>23</v>
      </c>
    </row>
    <row r="54" spans="1:16" x14ac:dyDescent="0.2">
      <c r="A54" t="s">
        <v>341</v>
      </c>
      <c r="B54" t="s">
        <v>346</v>
      </c>
      <c r="C54" t="s">
        <v>495</v>
      </c>
      <c r="D54" t="s">
        <v>390</v>
      </c>
      <c r="E54">
        <v>805</v>
      </c>
      <c r="F54">
        <v>232</v>
      </c>
      <c r="G54">
        <v>111.58</v>
      </c>
      <c r="L54">
        <v>116</v>
      </c>
      <c r="M54">
        <v>510</v>
      </c>
      <c r="N54">
        <v>106</v>
      </c>
      <c r="O54">
        <v>50</v>
      </c>
      <c r="P54">
        <v>23</v>
      </c>
    </row>
    <row r="55" spans="1:16" x14ac:dyDescent="0.2">
      <c r="A55" t="s">
        <v>341</v>
      </c>
      <c r="B55" t="s">
        <v>348</v>
      </c>
      <c r="C55" t="s">
        <v>495</v>
      </c>
      <c r="D55" t="s">
        <v>390</v>
      </c>
      <c r="E55">
        <v>5</v>
      </c>
      <c r="G55">
        <v>30.2</v>
      </c>
      <c r="L55">
        <v>3</v>
      </c>
      <c r="M55">
        <v>2</v>
      </c>
    </row>
    <row r="56" spans="1:16" x14ac:dyDescent="0.2">
      <c r="A56" t="s">
        <v>341</v>
      </c>
      <c r="B56" t="s">
        <v>417</v>
      </c>
      <c r="C56" t="s">
        <v>496</v>
      </c>
      <c r="D56" t="s">
        <v>390</v>
      </c>
      <c r="E56">
        <v>1054</v>
      </c>
      <c r="F56">
        <v>196</v>
      </c>
      <c r="G56">
        <v>81.03</v>
      </c>
      <c r="L56">
        <v>243</v>
      </c>
      <c r="M56">
        <v>655</v>
      </c>
      <c r="N56">
        <v>108</v>
      </c>
      <c r="O56">
        <v>38</v>
      </c>
      <c r="P56">
        <v>10</v>
      </c>
    </row>
    <row r="57" spans="1:16" x14ac:dyDescent="0.2">
      <c r="A57" t="s">
        <v>341</v>
      </c>
      <c r="B57" t="s">
        <v>346</v>
      </c>
      <c r="C57" t="s">
        <v>496</v>
      </c>
      <c r="D57" t="s">
        <v>390</v>
      </c>
      <c r="E57">
        <v>1051</v>
      </c>
      <c r="F57">
        <v>196</v>
      </c>
      <c r="G57">
        <v>81.14</v>
      </c>
      <c r="L57">
        <v>241</v>
      </c>
      <c r="M57">
        <v>654</v>
      </c>
      <c r="N57">
        <v>108</v>
      </c>
      <c r="O57">
        <v>38</v>
      </c>
      <c r="P57">
        <v>10</v>
      </c>
    </row>
    <row r="58" spans="1:16" x14ac:dyDescent="0.2">
      <c r="A58" t="s">
        <v>341</v>
      </c>
      <c r="B58" t="s">
        <v>348</v>
      </c>
      <c r="C58" t="s">
        <v>496</v>
      </c>
      <c r="D58" t="s">
        <v>390</v>
      </c>
      <c r="E58">
        <v>3</v>
      </c>
      <c r="G58">
        <v>43</v>
      </c>
      <c r="L58">
        <v>2</v>
      </c>
      <c r="M58">
        <v>1</v>
      </c>
    </row>
    <row r="59" spans="1:16" x14ac:dyDescent="0.2">
      <c r="A59" t="s">
        <v>341</v>
      </c>
      <c r="B59" t="s">
        <v>417</v>
      </c>
      <c r="C59" t="s">
        <v>497</v>
      </c>
      <c r="D59" t="s">
        <v>390</v>
      </c>
      <c r="E59">
        <v>24106</v>
      </c>
      <c r="F59">
        <v>4484</v>
      </c>
      <c r="G59">
        <v>89.54</v>
      </c>
      <c r="L59">
        <v>714</v>
      </c>
      <c r="M59">
        <v>16889</v>
      </c>
      <c r="N59">
        <v>6103</v>
      </c>
      <c r="O59">
        <v>400</v>
      </c>
    </row>
    <row r="60" spans="1:16" x14ac:dyDescent="0.2">
      <c r="A60" t="s">
        <v>341</v>
      </c>
      <c r="B60" t="s">
        <v>346</v>
      </c>
      <c r="C60" t="s">
        <v>497</v>
      </c>
      <c r="D60" t="s">
        <v>390</v>
      </c>
      <c r="E60">
        <v>22230</v>
      </c>
      <c r="F60">
        <v>4128</v>
      </c>
      <c r="G60">
        <v>89.68</v>
      </c>
      <c r="L60">
        <v>235</v>
      </c>
      <c r="M60">
        <v>15842</v>
      </c>
      <c r="N60">
        <v>6089</v>
      </c>
      <c r="O60">
        <v>64</v>
      </c>
    </row>
    <row r="61" spans="1:16" x14ac:dyDescent="0.2">
      <c r="A61" t="s">
        <v>341</v>
      </c>
      <c r="B61" t="s">
        <v>347</v>
      </c>
      <c r="C61" t="s">
        <v>497</v>
      </c>
      <c r="D61" t="s">
        <v>390</v>
      </c>
      <c r="E61">
        <v>1835</v>
      </c>
      <c r="F61">
        <v>351</v>
      </c>
      <c r="G61">
        <v>88.38</v>
      </c>
      <c r="L61">
        <v>478</v>
      </c>
      <c r="M61">
        <v>1018</v>
      </c>
      <c r="N61">
        <v>3</v>
      </c>
      <c r="O61">
        <v>336</v>
      </c>
    </row>
    <row r="62" spans="1:16" x14ac:dyDescent="0.2">
      <c r="A62" t="s">
        <v>341</v>
      </c>
      <c r="B62" t="s">
        <v>348</v>
      </c>
      <c r="C62" t="s">
        <v>497</v>
      </c>
      <c r="D62" t="s">
        <v>390</v>
      </c>
      <c r="E62">
        <v>38</v>
      </c>
      <c r="F62">
        <v>5</v>
      </c>
      <c r="G62">
        <v>67.709999999999994</v>
      </c>
      <c r="L62">
        <v>1</v>
      </c>
      <c r="M62">
        <v>26</v>
      </c>
      <c r="N62">
        <v>11</v>
      </c>
    </row>
    <row r="63" spans="1:16" x14ac:dyDescent="0.2">
      <c r="A63" t="s">
        <v>341</v>
      </c>
      <c r="B63" t="s">
        <v>349</v>
      </c>
      <c r="C63" t="s">
        <v>497</v>
      </c>
      <c r="D63" t="s">
        <v>390</v>
      </c>
      <c r="E63">
        <v>3</v>
      </c>
      <c r="G63">
        <v>21.33</v>
      </c>
      <c r="M63">
        <v>3</v>
      </c>
    </row>
    <row r="64" spans="1:16" x14ac:dyDescent="0.2">
      <c r="A64" t="s">
        <v>341</v>
      </c>
      <c r="B64" t="s">
        <v>417</v>
      </c>
      <c r="C64" t="s">
        <v>498</v>
      </c>
      <c r="D64" t="s">
        <v>390</v>
      </c>
      <c r="E64">
        <v>1910</v>
      </c>
      <c r="F64">
        <v>545</v>
      </c>
      <c r="G64">
        <v>105.05</v>
      </c>
      <c r="L64">
        <v>258</v>
      </c>
      <c r="M64">
        <v>1017</v>
      </c>
      <c r="N64">
        <v>298</v>
      </c>
      <c r="O64">
        <v>269</v>
      </c>
      <c r="P64">
        <v>68</v>
      </c>
    </row>
    <row r="65" spans="1:16" x14ac:dyDescent="0.2">
      <c r="A65" t="s">
        <v>341</v>
      </c>
      <c r="B65" t="s">
        <v>346</v>
      </c>
      <c r="C65" t="s">
        <v>498</v>
      </c>
      <c r="D65" t="s">
        <v>390</v>
      </c>
      <c r="E65">
        <v>1827</v>
      </c>
      <c r="F65">
        <v>510</v>
      </c>
      <c r="G65">
        <v>104.19</v>
      </c>
      <c r="L65">
        <v>231</v>
      </c>
      <c r="M65">
        <v>993</v>
      </c>
      <c r="N65">
        <v>297</v>
      </c>
      <c r="O65">
        <v>246</v>
      </c>
      <c r="P65">
        <v>60</v>
      </c>
    </row>
    <row r="66" spans="1:16" x14ac:dyDescent="0.2">
      <c r="A66" t="s">
        <v>341</v>
      </c>
      <c r="B66" t="s">
        <v>347</v>
      </c>
      <c r="C66" t="s">
        <v>498</v>
      </c>
      <c r="D66" t="s">
        <v>390</v>
      </c>
      <c r="E66">
        <v>80</v>
      </c>
      <c r="F66">
        <v>34</v>
      </c>
      <c r="G66">
        <v>124.24</v>
      </c>
      <c r="L66">
        <v>27</v>
      </c>
      <c r="M66">
        <v>21</v>
      </c>
      <c r="N66">
        <v>1</v>
      </c>
      <c r="O66">
        <v>23</v>
      </c>
      <c r="P66">
        <v>8</v>
      </c>
    </row>
    <row r="67" spans="1:16" x14ac:dyDescent="0.2">
      <c r="A67" t="s">
        <v>341</v>
      </c>
      <c r="B67" t="s">
        <v>348</v>
      </c>
      <c r="C67" t="s">
        <v>498</v>
      </c>
      <c r="D67" t="s">
        <v>390</v>
      </c>
      <c r="E67">
        <v>3</v>
      </c>
      <c r="F67">
        <v>1</v>
      </c>
      <c r="G67">
        <v>118.33</v>
      </c>
      <c r="M67">
        <v>3</v>
      </c>
    </row>
    <row r="68" spans="1:16" x14ac:dyDescent="0.2">
      <c r="A68" t="s">
        <v>341</v>
      </c>
      <c r="B68" t="s">
        <v>417</v>
      </c>
      <c r="C68" t="s">
        <v>499</v>
      </c>
      <c r="D68" t="s">
        <v>390</v>
      </c>
      <c r="E68">
        <v>335</v>
      </c>
      <c r="F68">
        <v>53</v>
      </c>
      <c r="G68">
        <v>84.78</v>
      </c>
      <c r="L68">
        <v>52</v>
      </c>
      <c r="M68">
        <v>242</v>
      </c>
      <c r="N68">
        <v>26</v>
      </c>
      <c r="O68">
        <v>12</v>
      </c>
      <c r="P68">
        <v>3</v>
      </c>
    </row>
    <row r="69" spans="1:16" x14ac:dyDescent="0.2">
      <c r="A69" t="s">
        <v>341</v>
      </c>
      <c r="B69" t="s">
        <v>346</v>
      </c>
      <c r="C69" t="s">
        <v>499</v>
      </c>
      <c r="D69" t="s">
        <v>390</v>
      </c>
      <c r="E69">
        <v>335</v>
      </c>
      <c r="F69">
        <v>53</v>
      </c>
      <c r="G69">
        <v>84.78</v>
      </c>
      <c r="L69">
        <v>52</v>
      </c>
      <c r="M69">
        <v>242</v>
      </c>
      <c r="N69">
        <v>26</v>
      </c>
      <c r="O69">
        <v>12</v>
      </c>
      <c r="P69">
        <v>3</v>
      </c>
    </row>
    <row r="70" spans="1:16" x14ac:dyDescent="0.2">
      <c r="A70" t="s">
        <v>341</v>
      </c>
      <c r="B70" t="s">
        <v>417</v>
      </c>
      <c r="C70" t="s">
        <v>500</v>
      </c>
      <c r="D70" t="s">
        <v>390</v>
      </c>
      <c r="E70">
        <v>4805</v>
      </c>
      <c r="F70">
        <v>775</v>
      </c>
      <c r="G70">
        <v>82.84</v>
      </c>
      <c r="L70">
        <v>127</v>
      </c>
      <c r="M70">
        <v>3075</v>
      </c>
      <c r="N70">
        <v>1540</v>
      </c>
      <c r="O70">
        <v>63</v>
      </c>
    </row>
    <row r="71" spans="1:16" x14ac:dyDescent="0.2">
      <c r="A71" t="s">
        <v>341</v>
      </c>
      <c r="B71" t="s">
        <v>346</v>
      </c>
      <c r="C71" t="s">
        <v>500</v>
      </c>
      <c r="D71" t="s">
        <v>390</v>
      </c>
      <c r="E71">
        <v>4496</v>
      </c>
      <c r="F71">
        <v>714</v>
      </c>
      <c r="G71">
        <v>82.5</v>
      </c>
      <c r="L71">
        <v>48</v>
      </c>
      <c r="M71">
        <v>2898</v>
      </c>
      <c r="N71">
        <v>1539</v>
      </c>
      <c r="O71">
        <v>11</v>
      </c>
    </row>
    <row r="72" spans="1:16" x14ac:dyDescent="0.2">
      <c r="A72" t="s">
        <v>341</v>
      </c>
      <c r="B72" t="s">
        <v>347</v>
      </c>
      <c r="C72" t="s">
        <v>500</v>
      </c>
      <c r="D72" t="s">
        <v>390</v>
      </c>
      <c r="E72">
        <v>304</v>
      </c>
      <c r="F72">
        <v>60</v>
      </c>
      <c r="G72">
        <v>87.29</v>
      </c>
      <c r="L72">
        <v>79</v>
      </c>
      <c r="M72">
        <v>173</v>
      </c>
      <c r="O72">
        <v>52</v>
      </c>
    </row>
    <row r="73" spans="1:16" x14ac:dyDescent="0.2">
      <c r="A73" t="s">
        <v>341</v>
      </c>
      <c r="B73" t="s">
        <v>348</v>
      </c>
      <c r="C73" t="s">
        <v>500</v>
      </c>
      <c r="D73" t="s">
        <v>390</v>
      </c>
      <c r="E73">
        <v>5</v>
      </c>
      <c r="F73">
        <v>1</v>
      </c>
      <c r="G73">
        <v>118.2</v>
      </c>
      <c r="M73">
        <v>4</v>
      </c>
      <c r="N73">
        <v>1</v>
      </c>
    </row>
    <row r="74" spans="1:16" x14ac:dyDescent="0.2">
      <c r="A74" t="s">
        <v>341</v>
      </c>
      <c r="B74" t="s">
        <v>417</v>
      </c>
      <c r="C74" t="s">
        <v>501</v>
      </c>
      <c r="D74" t="s">
        <v>390</v>
      </c>
      <c r="E74">
        <v>344</v>
      </c>
      <c r="F74">
        <v>142</v>
      </c>
      <c r="G74">
        <v>113.13</v>
      </c>
      <c r="L74">
        <v>60</v>
      </c>
      <c r="M74">
        <v>120</v>
      </c>
      <c r="N74">
        <v>72</v>
      </c>
      <c r="O74">
        <v>75</v>
      </c>
      <c r="P74">
        <v>17</v>
      </c>
    </row>
    <row r="75" spans="1:16" x14ac:dyDescent="0.2">
      <c r="A75" t="s">
        <v>341</v>
      </c>
      <c r="B75" t="s">
        <v>346</v>
      </c>
      <c r="C75" t="s">
        <v>501</v>
      </c>
      <c r="D75" t="s">
        <v>390</v>
      </c>
      <c r="E75">
        <v>295</v>
      </c>
      <c r="F75">
        <v>119</v>
      </c>
      <c r="G75">
        <v>111.46</v>
      </c>
      <c r="L75">
        <v>46</v>
      </c>
      <c r="M75">
        <v>107</v>
      </c>
      <c r="N75">
        <v>69</v>
      </c>
      <c r="O75">
        <v>62</v>
      </c>
      <c r="P75">
        <v>11</v>
      </c>
    </row>
    <row r="76" spans="1:16" x14ac:dyDescent="0.2">
      <c r="A76" t="s">
        <v>341</v>
      </c>
      <c r="B76" t="s">
        <v>347</v>
      </c>
      <c r="C76" t="s">
        <v>501</v>
      </c>
      <c r="D76" t="s">
        <v>390</v>
      </c>
      <c r="E76">
        <v>48</v>
      </c>
      <c r="F76">
        <v>23</v>
      </c>
      <c r="G76">
        <v>124.73</v>
      </c>
      <c r="L76">
        <v>14</v>
      </c>
      <c r="M76">
        <v>13</v>
      </c>
      <c r="N76">
        <v>2</v>
      </c>
      <c r="O76">
        <v>13</v>
      </c>
      <c r="P76">
        <v>6</v>
      </c>
    </row>
    <row r="77" spans="1:16" x14ac:dyDescent="0.2">
      <c r="A77" t="s">
        <v>341</v>
      </c>
      <c r="B77" t="s">
        <v>348</v>
      </c>
      <c r="C77" t="s">
        <v>501</v>
      </c>
      <c r="D77" t="s">
        <v>390</v>
      </c>
      <c r="E77">
        <v>1</v>
      </c>
      <c r="G77">
        <v>47</v>
      </c>
      <c r="N77">
        <v>1</v>
      </c>
    </row>
    <row r="78" spans="1:16" x14ac:dyDescent="0.2">
      <c r="A78" t="s">
        <v>341</v>
      </c>
      <c r="B78" t="s">
        <v>417</v>
      </c>
      <c r="C78" t="s">
        <v>502</v>
      </c>
      <c r="D78" t="s">
        <v>390</v>
      </c>
      <c r="E78">
        <v>245</v>
      </c>
      <c r="F78">
        <v>8</v>
      </c>
      <c r="G78">
        <v>64.34</v>
      </c>
      <c r="L78">
        <v>28</v>
      </c>
      <c r="M78">
        <v>181</v>
      </c>
      <c r="N78">
        <v>8</v>
      </c>
      <c r="O78">
        <v>23</v>
      </c>
      <c r="P78">
        <v>5</v>
      </c>
    </row>
    <row r="79" spans="1:16" x14ac:dyDescent="0.2">
      <c r="A79" t="s">
        <v>341</v>
      </c>
      <c r="B79" t="s">
        <v>346</v>
      </c>
      <c r="C79" t="s">
        <v>502</v>
      </c>
      <c r="D79" t="s">
        <v>390</v>
      </c>
      <c r="E79">
        <v>245</v>
      </c>
      <c r="F79">
        <v>8</v>
      </c>
      <c r="G79">
        <v>64.34</v>
      </c>
      <c r="L79">
        <v>28</v>
      </c>
      <c r="M79">
        <v>181</v>
      </c>
      <c r="N79">
        <v>8</v>
      </c>
      <c r="O79">
        <v>23</v>
      </c>
      <c r="P79">
        <v>5</v>
      </c>
    </row>
    <row r="80" spans="1:16" x14ac:dyDescent="0.2">
      <c r="A80" t="s">
        <v>341</v>
      </c>
      <c r="B80" t="s">
        <v>417</v>
      </c>
      <c r="C80" t="s">
        <v>503</v>
      </c>
      <c r="D80" t="s">
        <v>390</v>
      </c>
      <c r="E80">
        <v>1511</v>
      </c>
      <c r="F80">
        <v>236</v>
      </c>
      <c r="G80">
        <v>78.48</v>
      </c>
      <c r="L80">
        <v>59</v>
      </c>
      <c r="M80">
        <v>1104</v>
      </c>
      <c r="N80">
        <v>327</v>
      </c>
      <c r="O80">
        <v>21</v>
      </c>
    </row>
    <row r="81" spans="1:16" x14ac:dyDescent="0.2">
      <c r="A81" t="s">
        <v>341</v>
      </c>
      <c r="B81" t="s">
        <v>346</v>
      </c>
      <c r="C81" t="s">
        <v>503</v>
      </c>
      <c r="D81" t="s">
        <v>390</v>
      </c>
      <c r="E81">
        <v>1360</v>
      </c>
      <c r="F81">
        <v>205</v>
      </c>
      <c r="G81">
        <v>77.36</v>
      </c>
      <c r="L81">
        <v>17</v>
      </c>
      <c r="M81">
        <v>1016</v>
      </c>
      <c r="N81">
        <v>324</v>
      </c>
      <c r="O81">
        <v>3</v>
      </c>
    </row>
    <row r="82" spans="1:16" x14ac:dyDescent="0.2">
      <c r="A82" t="s">
        <v>341</v>
      </c>
      <c r="B82" t="s">
        <v>347</v>
      </c>
      <c r="C82" t="s">
        <v>503</v>
      </c>
      <c r="D82" t="s">
        <v>390</v>
      </c>
      <c r="E82">
        <v>149</v>
      </c>
      <c r="F82">
        <v>31</v>
      </c>
      <c r="G82">
        <v>89.44</v>
      </c>
      <c r="L82">
        <v>42</v>
      </c>
      <c r="M82">
        <v>86</v>
      </c>
      <c r="N82">
        <v>3</v>
      </c>
      <c r="O82">
        <v>18</v>
      </c>
    </row>
    <row r="83" spans="1:16" x14ac:dyDescent="0.2">
      <c r="A83" t="s">
        <v>341</v>
      </c>
      <c r="B83" t="s">
        <v>348</v>
      </c>
      <c r="C83" t="s">
        <v>503</v>
      </c>
      <c r="D83" t="s">
        <v>390</v>
      </c>
      <c r="E83">
        <v>2</v>
      </c>
      <c r="G83">
        <v>23</v>
      </c>
      <c r="M83">
        <v>2</v>
      </c>
    </row>
    <row r="84" spans="1:16" x14ac:dyDescent="0.2">
      <c r="A84" t="s">
        <v>341</v>
      </c>
      <c r="B84" t="s">
        <v>417</v>
      </c>
      <c r="C84" t="s">
        <v>504</v>
      </c>
      <c r="D84" t="s">
        <v>390</v>
      </c>
      <c r="E84">
        <v>155</v>
      </c>
      <c r="F84">
        <v>56</v>
      </c>
      <c r="G84">
        <v>123.21</v>
      </c>
      <c r="L84">
        <v>16</v>
      </c>
      <c r="M84">
        <v>98</v>
      </c>
      <c r="N84">
        <v>19</v>
      </c>
      <c r="O84">
        <v>17</v>
      </c>
      <c r="P84">
        <v>5</v>
      </c>
    </row>
    <row r="85" spans="1:16" x14ac:dyDescent="0.2">
      <c r="A85" t="s">
        <v>341</v>
      </c>
      <c r="B85" t="s">
        <v>346</v>
      </c>
      <c r="C85" t="s">
        <v>504</v>
      </c>
      <c r="D85" t="s">
        <v>390</v>
      </c>
      <c r="E85">
        <v>143</v>
      </c>
      <c r="F85">
        <v>53</v>
      </c>
      <c r="G85">
        <v>124.59</v>
      </c>
      <c r="L85">
        <v>13</v>
      </c>
      <c r="M85">
        <v>95</v>
      </c>
      <c r="N85">
        <v>18</v>
      </c>
      <c r="O85">
        <v>12</v>
      </c>
      <c r="P85">
        <v>5</v>
      </c>
    </row>
    <row r="86" spans="1:16" x14ac:dyDescent="0.2">
      <c r="A86" t="s">
        <v>341</v>
      </c>
      <c r="B86" t="s">
        <v>347</v>
      </c>
      <c r="C86" t="s">
        <v>504</v>
      </c>
      <c r="D86" t="s">
        <v>390</v>
      </c>
      <c r="E86">
        <v>10</v>
      </c>
      <c r="F86">
        <v>3</v>
      </c>
      <c r="G86">
        <v>114.4</v>
      </c>
      <c r="L86">
        <v>3</v>
      </c>
      <c r="M86">
        <v>2</v>
      </c>
      <c r="O86">
        <v>5</v>
      </c>
    </row>
    <row r="87" spans="1:16" x14ac:dyDescent="0.2">
      <c r="A87" t="s">
        <v>341</v>
      </c>
      <c r="B87" t="s">
        <v>348</v>
      </c>
      <c r="C87" t="s">
        <v>504</v>
      </c>
      <c r="D87" t="s">
        <v>390</v>
      </c>
      <c r="E87">
        <v>2</v>
      </c>
      <c r="G87">
        <v>68</v>
      </c>
      <c r="M87">
        <v>1</v>
      </c>
      <c r="N87">
        <v>1</v>
      </c>
    </row>
    <row r="88" spans="1:16" x14ac:dyDescent="0.2">
      <c r="A88" t="s">
        <v>341</v>
      </c>
      <c r="B88" t="s">
        <v>417</v>
      </c>
      <c r="C88" t="s">
        <v>644</v>
      </c>
      <c r="D88" t="s">
        <v>390</v>
      </c>
      <c r="E88">
        <v>1</v>
      </c>
      <c r="G88">
        <v>47</v>
      </c>
      <c r="O88">
        <v>1</v>
      </c>
    </row>
    <row r="89" spans="1:16" x14ac:dyDescent="0.2">
      <c r="A89" t="s">
        <v>341</v>
      </c>
      <c r="B89" t="s">
        <v>346</v>
      </c>
      <c r="C89" t="s">
        <v>644</v>
      </c>
      <c r="D89" t="s">
        <v>390</v>
      </c>
      <c r="E89">
        <v>1</v>
      </c>
      <c r="G89">
        <v>47</v>
      </c>
      <c r="O89">
        <v>1</v>
      </c>
    </row>
    <row r="90" spans="1:16" x14ac:dyDescent="0.2">
      <c r="A90" t="s">
        <v>341</v>
      </c>
      <c r="B90" t="s">
        <v>417</v>
      </c>
      <c r="C90" t="s">
        <v>505</v>
      </c>
      <c r="D90" t="s">
        <v>390</v>
      </c>
      <c r="E90">
        <v>359</v>
      </c>
      <c r="F90">
        <v>86</v>
      </c>
      <c r="G90">
        <v>107.19</v>
      </c>
      <c r="L90">
        <v>18</v>
      </c>
      <c r="M90">
        <v>258</v>
      </c>
      <c r="N90">
        <v>79</v>
      </c>
      <c r="O90">
        <v>4</v>
      </c>
    </row>
    <row r="91" spans="1:16" x14ac:dyDescent="0.2">
      <c r="A91" t="s">
        <v>341</v>
      </c>
      <c r="B91" t="s">
        <v>346</v>
      </c>
      <c r="C91" t="s">
        <v>505</v>
      </c>
      <c r="D91" t="s">
        <v>390</v>
      </c>
      <c r="E91">
        <v>335</v>
      </c>
      <c r="F91">
        <v>84</v>
      </c>
      <c r="G91">
        <v>109.21</v>
      </c>
      <c r="L91">
        <v>7</v>
      </c>
      <c r="M91">
        <v>248</v>
      </c>
      <c r="N91">
        <v>79</v>
      </c>
      <c r="O91">
        <v>1</v>
      </c>
    </row>
    <row r="92" spans="1:16" x14ac:dyDescent="0.2">
      <c r="A92" t="s">
        <v>341</v>
      </c>
      <c r="B92" t="s">
        <v>347</v>
      </c>
      <c r="C92" t="s">
        <v>505</v>
      </c>
      <c r="D92" t="s">
        <v>390</v>
      </c>
      <c r="E92">
        <v>24</v>
      </c>
      <c r="F92">
        <v>2</v>
      </c>
      <c r="G92">
        <v>78.959999999999994</v>
      </c>
      <c r="L92">
        <v>11</v>
      </c>
      <c r="M92">
        <v>10</v>
      </c>
      <c r="O92">
        <v>3</v>
      </c>
    </row>
    <row r="93" spans="1:16" x14ac:dyDescent="0.2">
      <c r="A93" t="s">
        <v>341</v>
      </c>
      <c r="B93" t="s">
        <v>417</v>
      </c>
      <c r="C93" t="s">
        <v>506</v>
      </c>
      <c r="D93" t="s">
        <v>390</v>
      </c>
      <c r="E93">
        <v>205</v>
      </c>
      <c r="F93">
        <v>84</v>
      </c>
      <c r="G93">
        <v>131.11000000000001</v>
      </c>
      <c r="L93">
        <v>34</v>
      </c>
      <c r="M93">
        <v>95</v>
      </c>
      <c r="N93">
        <v>32</v>
      </c>
      <c r="O93">
        <v>35</v>
      </c>
      <c r="P93">
        <v>9</v>
      </c>
    </row>
    <row r="94" spans="1:16" x14ac:dyDescent="0.2">
      <c r="A94" t="s">
        <v>341</v>
      </c>
      <c r="B94" t="s">
        <v>346</v>
      </c>
      <c r="C94" t="s">
        <v>506</v>
      </c>
      <c r="D94" t="s">
        <v>390</v>
      </c>
      <c r="E94">
        <v>193</v>
      </c>
      <c r="F94">
        <v>79</v>
      </c>
      <c r="G94">
        <v>131.25</v>
      </c>
      <c r="L94">
        <v>33</v>
      </c>
      <c r="M94">
        <v>90</v>
      </c>
      <c r="N94">
        <v>32</v>
      </c>
      <c r="O94">
        <v>29</v>
      </c>
      <c r="P94">
        <v>9</v>
      </c>
    </row>
    <row r="95" spans="1:16" x14ac:dyDescent="0.2">
      <c r="A95" t="s">
        <v>341</v>
      </c>
      <c r="B95" t="s">
        <v>347</v>
      </c>
      <c r="C95" t="s">
        <v>506</v>
      </c>
      <c r="D95" t="s">
        <v>390</v>
      </c>
      <c r="E95">
        <v>12</v>
      </c>
      <c r="F95">
        <v>5</v>
      </c>
      <c r="G95">
        <v>128.83000000000001</v>
      </c>
      <c r="L95">
        <v>1</v>
      </c>
      <c r="M95">
        <v>5</v>
      </c>
      <c r="O95">
        <v>6</v>
      </c>
    </row>
    <row r="96" spans="1:16" x14ac:dyDescent="0.2">
      <c r="A96" t="s">
        <v>341</v>
      </c>
      <c r="B96" t="s">
        <v>417</v>
      </c>
      <c r="C96" t="s">
        <v>507</v>
      </c>
      <c r="D96" t="s">
        <v>390</v>
      </c>
      <c r="E96">
        <v>92</v>
      </c>
      <c r="F96">
        <v>17</v>
      </c>
      <c r="G96">
        <v>97.58</v>
      </c>
      <c r="L96">
        <v>11</v>
      </c>
      <c r="M96">
        <v>60</v>
      </c>
      <c r="N96">
        <v>16</v>
      </c>
      <c r="O96">
        <v>5</v>
      </c>
    </row>
    <row r="97" spans="1:16" x14ac:dyDescent="0.2">
      <c r="A97" t="s">
        <v>341</v>
      </c>
      <c r="B97" t="s">
        <v>346</v>
      </c>
      <c r="C97" t="s">
        <v>507</v>
      </c>
      <c r="D97" t="s">
        <v>390</v>
      </c>
      <c r="E97">
        <v>92</v>
      </c>
      <c r="F97">
        <v>17</v>
      </c>
      <c r="G97">
        <v>97.58</v>
      </c>
      <c r="L97">
        <v>11</v>
      </c>
      <c r="M97">
        <v>60</v>
      </c>
      <c r="N97">
        <v>16</v>
      </c>
      <c r="O97">
        <v>5</v>
      </c>
    </row>
    <row r="98" spans="1:16" x14ac:dyDescent="0.2">
      <c r="A98" t="s">
        <v>341</v>
      </c>
      <c r="B98" t="s">
        <v>417</v>
      </c>
      <c r="C98" t="s">
        <v>508</v>
      </c>
      <c r="D98" t="s">
        <v>390</v>
      </c>
      <c r="E98">
        <v>678</v>
      </c>
      <c r="F98">
        <v>159</v>
      </c>
      <c r="G98">
        <v>101.59</v>
      </c>
      <c r="L98">
        <v>20</v>
      </c>
      <c r="M98">
        <v>496</v>
      </c>
      <c r="N98">
        <v>145</v>
      </c>
      <c r="O98">
        <v>17</v>
      </c>
    </row>
    <row r="99" spans="1:16" x14ac:dyDescent="0.2">
      <c r="A99" t="s">
        <v>341</v>
      </c>
      <c r="B99" t="s">
        <v>346</v>
      </c>
      <c r="C99" t="s">
        <v>508</v>
      </c>
      <c r="D99" t="s">
        <v>390</v>
      </c>
      <c r="E99">
        <v>620</v>
      </c>
      <c r="F99">
        <v>148</v>
      </c>
      <c r="G99">
        <v>101.29</v>
      </c>
      <c r="L99">
        <v>6</v>
      </c>
      <c r="M99">
        <v>468</v>
      </c>
      <c r="N99">
        <v>145</v>
      </c>
      <c r="O99">
        <v>1</v>
      </c>
    </row>
    <row r="100" spans="1:16" x14ac:dyDescent="0.2">
      <c r="A100" t="s">
        <v>341</v>
      </c>
      <c r="B100" t="s">
        <v>347</v>
      </c>
      <c r="C100" t="s">
        <v>508</v>
      </c>
      <c r="D100" t="s">
        <v>390</v>
      </c>
      <c r="E100">
        <v>58</v>
      </c>
      <c r="F100">
        <v>11</v>
      </c>
      <c r="G100">
        <v>104.9</v>
      </c>
      <c r="L100">
        <v>14</v>
      </c>
      <c r="M100">
        <v>28</v>
      </c>
      <c r="O100">
        <v>16</v>
      </c>
    </row>
    <row r="101" spans="1:16" x14ac:dyDescent="0.2">
      <c r="A101" t="s">
        <v>341</v>
      </c>
      <c r="B101" t="s">
        <v>417</v>
      </c>
      <c r="C101" t="s">
        <v>509</v>
      </c>
      <c r="D101" t="s">
        <v>390</v>
      </c>
      <c r="E101">
        <v>7284</v>
      </c>
      <c r="F101">
        <v>2408</v>
      </c>
      <c r="G101">
        <v>113.04</v>
      </c>
      <c r="L101">
        <v>978</v>
      </c>
      <c r="M101">
        <v>4026</v>
      </c>
      <c r="N101">
        <v>1023</v>
      </c>
      <c r="O101">
        <v>1036</v>
      </c>
      <c r="P101">
        <v>221</v>
      </c>
    </row>
    <row r="102" spans="1:16" x14ac:dyDescent="0.2">
      <c r="A102" t="s">
        <v>341</v>
      </c>
      <c r="B102" t="s">
        <v>346</v>
      </c>
      <c r="C102" t="s">
        <v>509</v>
      </c>
      <c r="D102" t="s">
        <v>390</v>
      </c>
      <c r="E102">
        <v>6765</v>
      </c>
      <c r="F102">
        <v>2163</v>
      </c>
      <c r="G102">
        <v>112.09</v>
      </c>
      <c r="L102">
        <v>837</v>
      </c>
      <c r="M102">
        <v>3876</v>
      </c>
      <c r="N102">
        <v>1012</v>
      </c>
      <c r="O102">
        <v>849</v>
      </c>
      <c r="P102">
        <v>191</v>
      </c>
    </row>
    <row r="103" spans="1:16" x14ac:dyDescent="0.2">
      <c r="A103" t="s">
        <v>341</v>
      </c>
      <c r="B103" t="s">
        <v>347</v>
      </c>
      <c r="C103" t="s">
        <v>509</v>
      </c>
      <c r="D103" t="s">
        <v>390</v>
      </c>
      <c r="E103">
        <v>495</v>
      </c>
      <c r="F103">
        <v>236</v>
      </c>
      <c r="G103">
        <v>124.92</v>
      </c>
      <c r="L103">
        <v>135</v>
      </c>
      <c r="M103">
        <v>138</v>
      </c>
      <c r="N103">
        <v>5</v>
      </c>
      <c r="O103">
        <v>187</v>
      </c>
      <c r="P103">
        <v>30</v>
      </c>
    </row>
    <row r="104" spans="1:16" x14ac:dyDescent="0.2">
      <c r="A104" t="s">
        <v>341</v>
      </c>
      <c r="B104" t="s">
        <v>348</v>
      </c>
      <c r="C104" t="s">
        <v>509</v>
      </c>
      <c r="D104" t="s">
        <v>390</v>
      </c>
      <c r="E104">
        <v>23</v>
      </c>
      <c r="F104">
        <v>9</v>
      </c>
      <c r="G104">
        <v>139.09</v>
      </c>
      <c r="L104">
        <v>6</v>
      </c>
      <c r="M104">
        <v>11</v>
      </c>
      <c r="N104">
        <v>6</v>
      </c>
    </row>
    <row r="105" spans="1:16" x14ac:dyDescent="0.2">
      <c r="A105" t="s">
        <v>341</v>
      </c>
      <c r="B105" t="s">
        <v>349</v>
      </c>
      <c r="C105" t="s">
        <v>509</v>
      </c>
      <c r="D105" t="s">
        <v>390</v>
      </c>
      <c r="E105">
        <v>1</v>
      </c>
      <c r="G105">
        <v>47</v>
      </c>
      <c r="M105">
        <v>1</v>
      </c>
    </row>
    <row r="106" spans="1:16" x14ac:dyDescent="0.2">
      <c r="A106" t="s">
        <v>341</v>
      </c>
      <c r="B106" t="s">
        <v>417</v>
      </c>
      <c r="C106" t="s">
        <v>510</v>
      </c>
      <c r="D106" t="s">
        <v>390</v>
      </c>
      <c r="E106">
        <v>1415</v>
      </c>
      <c r="F106">
        <v>245</v>
      </c>
      <c r="G106">
        <v>92.54</v>
      </c>
      <c r="L106">
        <v>291</v>
      </c>
      <c r="M106">
        <v>861</v>
      </c>
      <c r="N106">
        <v>115</v>
      </c>
      <c r="O106">
        <v>108</v>
      </c>
      <c r="P106">
        <v>40</v>
      </c>
    </row>
    <row r="107" spans="1:16" x14ac:dyDescent="0.2">
      <c r="A107" t="s">
        <v>341</v>
      </c>
      <c r="B107" t="s">
        <v>346</v>
      </c>
      <c r="C107" t="s">
        <v>510</v>
      </c>
      <c r="D107" t="s">
        <v>390</v>
      </c>
      <c r="E107">
        <v>1411</v>
      </c>
      <c r="F107">
        <v>245</v>
      </c>
      <c r="G107">
        <v>92.66</v>
      </c>
      <c r="L107">
        <v>288</v>
      </c>
      <c r="M107">
        <v>860</v>
      </c>
      <c r="N107">
        <v>115</v>
      </c>
      <c r="O107">
        <v>108</v>
      </c>
      <c r="P107">
        <v>40</v>
      </c>
    </row>
    <row r="108" spans="1:16" x14ac:dyDescent="0.2">
      <c r="A108" t="s">
        <v>341</v>
      </c>
      <c r="B108" t="s">
        <v>347</v>
      </c>
      <c r="C108" t="s">
        <v>510</v>
      </c>
      <c r="D108" t="s">
        <v>390</v>
      </c>
      <c r="E108">
        <v>1</v>
      </c>
      <c r="G108">
        <v>86</v>
      </c>
      <c r="L108">
        <v>1</v>
      </c>
    </row>
    <row r="109" spans="1:16" x14ac:dyDescent="0.2">
      <c r="A109" t="s">
        <v>341</v>
      </c>
      <c r="B109" t="s">
        <v>348</v>
      </c>
      <c r="C109" t="s">
        <v>510</v>
      </c>
      <c r="D109" t="s">
        <v>390</v>
      </c>
      <c r="E109">
        <v>3</v>
      </c>
      <c r="G109">
        <v>38.67</v>
      </c>
      <c r="L109">
        <v>2</v>
      </c>
      <c r="M109">
        <v>1</v>
      </c>
    </row>
    <row r="110" spans="1:16" x14ac:dyDescent="0.2">
      <c r="A110" t="s">
        <v>341</v>
      </c>
      <c r="B110" t="s">
        <v>417</v>
      </c>
      <c r="C110" t="s">
        <v>511</v>
      </c>
      <c r="D110" t="s">
        <v>390</v>
      </c>
      <c r="E110">
        <v>19681</v>
      </c>
      <c r="F110">
        <v>3696</v>
      </c>
      <c r="G110">
        <v>88.8</v>
      </c>
      <c r="L110">
        <v>646</v>
      </c>
      <c r="M110">
        <v>13584</v>
      </c>
      <c r="N110">
        <v>5033</v>
      </c>
      <c r="O110">
        <v>418</v>
      </c>
    </row>
    <row r="111" spans="1:16" x14ac:dyDescent="0.2">
      <c r="A111" t="s">
        <v>341</v>
      </c>
      <c r="B111" t="s">
        <v>346</v>
      </c>
      <c r="C111" t="s">
        <v>511</v>
      </c>
      <c r="D111" t="s">
        <v>390</v>
      </c>
      <c r="E111">
        <v>17909</v>
      </c>
      <c r="F111">
        <v>3351</v>
      </c>
      <c r="G111">
        <v>88.67</v>
      </c>
      <c r="L111">
        <v>206</v>
      </c>
      <c r="M111">
        <v>12637</v>
      </c>
      <c r="N111">
        <v>5012</v>
      </c>
      <c r="O111">
        <v>54</v>
      </c>
    </row>
    <row r="112" spans="1:16" x14ac:dyDescent="0.2">
      <c r="A112" t="s">
        <v>341</v>
      </c>
      <c r="B112" t="s">
        <v>347</v>
      </c>
      <c r="C112" t="s">
        <v>511</v>
      </c>
      <c r="D112" t="s">
        <v>390</v>
      </c>
      <c r="E112">
        <v>1746</v>
      </c>
      <c r="F112">
        <v>340</v>
      </c>
      <c r="G112">
        <v>89.96</v>
      </c>
      <c r="L112">
        <v>440</v>
      </c>
      <c r="M112">
        <v>931</v>
      </c>
      <c r="N112">
        <v>11</v>
      </c>
      <c r="O112">
        <v>364</v>
      </c>
    </row>
    <row r="113" spans="1:16" x14ac:dyDescent="0.2">
      <c r="A113" t="s">
        <v>341</v>
      </c>
      <c r="B113" t="s">
        <v>348</v>
      </c>
      <c r="C113" t="s">
        <v>511</v>
      </c>
      <c r="D113" t="s">
        <v>390</v>
      </c>
      <c r="E113">
        <v>24</v>
      </c>
      <c r="F113">
        <v>4</v>
      </c>
      <c r="G113">
        <v>101.04</v>
      </c>
      <c r="M113">
        <v>14</v>
      </c>
      <c r="N113">
        <v>10</v>
      </c>
    </row>
    <row r="114" spans="1:16" x14ac:dyDescent="0.2">
      <c r="A114" t="s">
        <v>341</v>
      </c>
      <c r="B114" t="s">
        <v>349</v>
      </c>
      <c r="C114" t="s">
        <v>511</v>
      </c>
      <c r="D114" t="s">
        <v>390</v>
      </c>
      <c r="E114">
        <v>2</v>
      </c>
      <c r="F114">
        <v>1</v>
      </c>
      <c r="G114">
        <v>76.5</v>
      </c>
      <c r="M114">
        <v>2</v>
      </c>
    </row>
    <row r="115" spans="1:16" x14ac:dyDescent="0.2">
      <c r="A115" t="s">
        <v>341</v>
      </c>
      <c r="B115" t="s">
        <v>417</v>
      </c>
      <c r="C115" t="s">
        <v>512</v>
      </c>
      <c r="D115" t="s">
        <v>390</v>
      </c>
      <c r="E115">
        <v>4752</v>
      </c>
      <c r="F115">
        <v>1579</v>
      </c>
      <c r="G115">
        <v>114.47</v>
      </c>
      <c r="L115">
        <v>483</v>
      </c>
      <c r="M115">
        <v>2603</v>
      </c>
      <c r="N115">
        <v>764</v>
      </c>
      <c r="O115">
        <v>736</v>
      </c>
      <c r="P115">
        <v>166</v>
      </c>
    </row>
    <row r="116" spans="1:16" x14ac:dyDescent="0.2">
      <c r="A116" t="s">
        <v>341</v>
      </c>
      <c r="B116" t="s">
        <v>346</v>
      </c>
      <c r="C116" t="s">
        <v>512</v>
      </c>
      <c r="D116" t="s">
        <v>390</v>
      </c>
      <c r="E116">
        <v>4462</v>
      </c>
      <c r="F116">
        <v>1441</v>
      </c>
      <c r="G116">
        <v>113.23</v>
      </c>
      <c r="L116">
        <v>409</v>
      </c>
      <c r="M116">
        <v>2527</v>
      </c>
      <c r="N116">
        <v>758</v>
      </c>
      <c r="O116">
        <v>627</v>
      </c>
      <c r="P116">
        <v>141</v>
      </c>
    </row>
    <row r="117" spans="1:16" x14ac:dyDescent="0.2">
      <c r="A117" t="s">
        <v>341</v>
      </c>
      <c r="B117" t="s">
        <v>347</v>
      </c>
      <c r="C117" t="s">
        <v>512</v>
      </c>
      <c r="D117" t="s">
        <v>390</v>
      </c>
      <c r="E117">
        <v>279</v>
      </c>
      <c r="F117">
        <v>135</v>
      </c>
      <c r="G117">
        <v>133.91999999999999</v>
      </c>
      <c r="L117">
        <v>73</v>
      </c>
      <c r="M117">
        <v>68</v>
      </c>
      <c r="N117">
        <v>5</v>
      </c>
      <c r="O117">
        <v>108</v>
      </c>
      <c r="P117">
        <v>25</v>
      </c>
    </row>
    <row r="118" spans="1:16" x14ac:dyDescent="0.2">
      <c r="A118" t="s">
        <v>341</v>
      </c>
      <c r="B118" t="s">
        <v>348</v>
      </c>
      <c r="C118" t="s">
        <v>512</v>
      </c>
      <c r="D118" t="s">
        <v>390</v>
      </c>
      <c r="E118">
        <v>10</v>
      </c>
      <c r="F118">
        <v>3</v>
      </c>
      <c r="G118">
        <v>133.5</v>
      </c>
      <c r="L118">
        <v>1</v>
      </c>
      <c r="M118">
        <v>7</v>
      </c>
      <c r="N118">
        <v>1</v>
      </c>
      <c r="O118">
        <v>1</v>
      </c>
    </row>
    <row r="119" spans="1:16" x14ac:dyDescent="0.2">
      <c r="A119" t="s">
        <v>341</v>
      </c>
      <c r="B119" t="s">
        <v>349</v>
      </c>
      <c r="C119" t="s">
        <v>512</v>
      </c>
      <c r="D119" t="s">
        <v>390</v>
      </c>
      <c r="E119">
        <v>1</v>
      </c>
      <c r="G119">
        <v>11</v>
      </c>
      <c r="M119">
        <v>1</v>
      </c>
    </row>
    <row r="120" spans="1:16" x14ac:dyDescent="0.2">
      <c r="A120" t="s">
        <v>341</v>
      </c>
      <c r="B120" t="s">
        <v>417</v>
      </c>
      <c r="C120" t="s">
        <v>513</v>
      </c>
      <c r="D120" t="s">
        <v>390</v>
      </c>
      <c r="E120">
        <v>1259</v>
      </c>
      <c r="F120">
        <v>302</v>
      </c>
      <c r="G120">
        <v>95.43</v>
      </c>
      <c r="L120">
        <v>279</v>
      </c>
      <c r="M120">
        <v>817</v>
      </c>
      <c r="N120">
        <v>95</v>
      </c>
      <c r="O120">
        <v>60</v>
      </c>
      <c r="P120">
        <v>8</v>
      </c>
    </row>
    <row r="121" spans="1:16" x14ac:dyDescent="0.2">
      <c r="A121" t="s">
        <v>341</v>
      </c>
      <c r="B121" t="s">
        <v>346</v>
      </c>
      <c r="C121" t="s">
        <v>513</v>
      </c>
      <c r="D121" t="s">
        <v>390</v>
      </c>
      <c r="E121">
        <v>1255</v>
      </c>
      <c r="F121">
        <v>298</v>
      </c>
      <c r="G121">
        <v>95.06</v>
      </c>
      <c r="L121">
        <v>279</v>
      </c>
      <c r="M121">
        <v>815</v>
      </c>
      <c r="N121">
        <v>94</v>
      </c>
      <c r="O121">
        <v>59</v>
      </c>
      <c r="P121">
        <v>8</v>
      </c>
    </row>
    <row r="122" spans="1:16" x14ac:dyDescent="0.2">
      <c r="A122" t="s">
        <v>341</v>
      </c>
      <c r="B122" t="s">
        <v>347</v>
      </c>
      <c r="C122" t="s">
        <v>513</v>
      </c>
      <c r="D122" t="s">
        <v>390</v>
      </c>
      <c r="E122">
        <v>3</v>
      </c>
      <c r="F122">
        <v>3</v>
      </c>
      <c r="G122">
        <v>167.33</v>
      </c>
      <c r="M122">
        <v>2</v>
      </c>
      <c r="O122">
        <v>1</v>
      </c>
    </row>
    <row r="123" spans="1:16" x14ac:dyDescent="0.2">
      <c r="A123" t="s">
        <v>341</v>
      </c>
      <c r="B123" t="s">
        <v>348</v>
      </c>
      <c r="C123" t="s">
        <v>513</v>
      </c>
      <c r="D123" t="s">
        <v>390</v>
      </c>
      <c r="E123">
        <v>1</v>
      </c>
      <c r="F123">
        <v>1</v>
      </c>
      <c r="G123">
        <v>348</v>
      </c>
      <c r="N123">
        <v>1</v>
      </c>
    </row>
    <row r="124" spans="1:16" x14ac:dyDescent="0.2">
      <c r="A124" t="s">
        <v>341</v>
      </c>
      <c r="B124" t="s">
        <v>417</v>
      </c>
      <c r="C124" t="s">
        <v>514</v>
      </c>
      <c r="D124" t="s">
        <v>390</v>
      </c>
      <c r="E124">
        <v>13241</v>
      </c>
      <c r="F124">
        <v>2415</v>
      </c>
      <c r="G124">
        <v>86.17</v>
      </c>
      <c r="L124">
        <v>372</v>
      </c>
      <c r="M124">
        <v>8583</v>
      </c>
      <c r="N124">
        <v>4073</v>
      </c>
      <c r="O124">
        <v>213</v>
      </c>
    </row>
    <row r="125" spans="1:16" x14ac:dyDescent="0.2">
      <c r="A125" t="s">
        <v>341</v>
      </c>
      <c r="B125" t="s">
        <v>346</v>
      </c>
      <c r="C125" t="s">
        <v>514</v>
      </c>
      <c r="D125" t="s">
        <v>390</v>
      </c>
      <c r="E125">
        <v>12327</v>
      </c>
      <c r="F125">
        <v>2253</v>
      </c>
      <c r="G125">
        <v>86.27</v>
      </c>
      <c r="L125">
        <v>99</v>
      </c>
      <c r="M125">
        <v>8135</v>
      </c>
      <c r="N125">
        <v>4063</v>
      </c>
      <c r="O125">
        <v>30</v>
      </c>
    </row>
    <row r="126" spans="1:16" x14ac:dyDescent="0.2">
      <c r="A126" t="s">
        <v>341</v>
      </c>
      <c r="B126" t="s">
        <v>347</v>
      </c>
      <c r="C126" t="s">
        <v>514</v>
      </c>
      <c r="D126" t="s">
        <v>390</v>
      </c>
      <c r="E126">
        <v>899</v>
      </c>
      <c r="F126">
        <v>158</v>
      </c>
      <c r="G126">
        <v>84.66</v>
      </c>
      <c r="L126">
        <v>273</v>
      </c>
      <c r="M126">
        <v>437</v>
      </c>
      <c r="N126">
        <v>6</v>
      </c>
      <c r="O126">
        <v>183</v>
      </c>
    </row>
    <row r="127" spans="1:16" x14ac:dyDescent="0.2">
      <c r="A127" t="s">
        <v>341</v>
      </c>
      <c r="B127" t="s">
        <v>348</v>
      </c>
      <c r="C127" t="s">
        <v>514</v>
      </c>
      <c r="D127" t="s">
        <v>390</v>
      </c>
      <c r="E127">
        <v>14</v>
      </c>
      <c r="F127">
        <v>4</v>
      </c>
      <c r="G127">
        <v>93.36</v>
      </c>
      <c r="M127">
        <v>10</v>
      </c>
      <c r="N127">
        <v>4</v>
      </c>
    </row>
    <row r="128" spans="1:16" x14ac:dyDescent="0.2">
      <c r="A128" t="s">
        <v>341</v>
      </c>
      <c r="B128" t="s">
        <v>349</v>
      </c>
      <c r="C128" t="s">
        <v>514</v>
      </c>
      <c r="D128" t="s">
        <v>390</v>
      </c>
      <c r="E128">
        <v>1</v>
      </c>
      <c r="G128">
        <v>66</v>
      </c>
      <c r="M128">
        <v>1</v>
      </c>
    </row>
    <row r="129" spans="1:16" x14ac:dyDescent="0.2">
      <c r="A129" t="s">
        <v>341</v>
      </c>
      <c r="B129" t="s">
        <v>417</v>
      </c>
      <c r="C129" t="s">
        <v>515</v>
      </c>
      <c r="D129" t="s">
        <v>390</v>
      </c>
      <c r="E129">
        <v>656</v>
      </c>
      <c r="F129">
        <v>212</v>
      </c>
      <c r="G129">
        <v>111.55</v>
      </c>
      <c r="L129">
        <v>76</v>
      </c>
      <c r="M129">
        <v>378</v>
      </c>
      <c r="N129">
        <v>107</v>
      </c>
      <c r="O129">
        <v>80</v>
      </c>
      <c r="P129">
        <v>15</v>
      </c>
    </row>
    <row r="130" spans="1:16" x14ac:dyDescent="0.2">
      <c r="A130" t="s">
        <v>341</v>
      </c>
      <c r="B130" t="s">
        <v>346</v>
      </c>
      <c r="C130" t="s">
        <v>515</v>
      </c>
      <c r="D130" t="s">
        <v>390</v>
      </c>
      <c r="E130">
        <v>628</v>
      </c>
      <c r="F130">
        <v>202</v>
      </c>
      <c r="G130">
        <v>111.44</v>
      </c>
      <c r="L130">
        <v>71</v>
      </c>
      <c r="M130">
        <v>367</v>
      </c>
      <c r="N130">
        <v>107</v>
      </c>
      <c r="O130">
        <v>70</v>
      </c>
      <c r="P130">
        <v>13</v>
      </c>
    </row>
    <row r="131" spans="1:16" x14ac:dyDescent="0.2">
      <c r="A131" t="s">
        <v>341</v>
      </c>
      <c r="B131" t="s">
        <v>347</v>
      </c>
      <c r="C131" t="s">
        <v>515</v>
      </c>
      <c r="D131" t="s">
        <v>390</v>
      </c>
      <c r="E131">
        <v>27</v>
      </c>
      <c r="F131">
        <v>10</v>
      </c>
      <c r="G131">
        <v>116.81</v>
      </c>
      <c r="L131">
        <v>4</v>
      </c>
      <c r="M131">
        <v>11</v>
      </c>
      <c r="O131">
        <v>10</v>
      </c>
      <c r="P131">
        <v>2</v>
      </c>
    </row>
    <row r="132" spans="1:16" x14ac:dyDescent="0.2">
      <c r="A132" t="s">
        <v>341</v>
      </c>
      <c r="B132" t="s">
        <v>348</v>
      </c>
      <c r="C132" t="s">
        <v>515</v>
      </c>
      <c r="D132" t="s">
        <v>390</v>
      </c>
      <c r="E132">
        <v>1</v>
      </c>
      <c r="G132">
        <v>39</v>
      </c>
      <c r="L132">
        <v>1</v>
      </c>
    </row>
    <row r="133" spans="1:16" x14ac:dyDescent="0.2">
      <c r="A133" t="s">
        <v>341</v>
      </c>
      <c r="B133" t="s">
        <v>417</v>
      </c>
      <c r="C133" t="s">
        <v>516</v>
      </c>
      <c r="D133" t="s">
        <v>390</v>
      </c>
      <c r="E133">
        <v>81</v>
      </c>
      <c r="F133">
        <v>8</v>
      </c>
      <c r="G133">
        <v>76.19</v>
      </c>
      <c r="L133">
        <v>16</v>
      </c>
      <c r="M133">
        <v>53</v>
      </c>
      <c r="N133">
        <v>11</v>
      </c>
      <c r="O133">
        <v>1</v>
      </c>
    </row>
    <row r="134" spans="1:16" x14ac:dyDescent="0.2">
      <c r="A134" t="s">
        <v>341</v>
      </c>
      <c r="B134" t="s">
        <v>346</v>
      </c>
      <c r="C134" t="s">
        <v>516</v>
      </c>
      <c r="D134" t="s">
        <v>390</v>
      </c>
      <c r="E134">
        <v>81</v>
      </c>
      <c r="F134">
        <v>8</v>
      </c>
      <c r="G134">
        <v>76.19</v>
      </c>
      <c r="L134">
        <v>16</v>
      </c>
      <c r="M134">
        <v>53</v>
      </c>
      <c r="N134">
        <v>11</v>
      </c>
      <c r="O134">
        <v>1</v>
      </c>
    </row>
    <row r="135" spans="1:16" x14ac:dyDescent="0.2">
      <c r="A135" t="s">
        <v>341</v>
      </c>
      <c r="B135" t="s">
        <v>417</v>
      </c>
      <c r="C135" t="s">
        <v>517</v>
      </c>
      <c r="D135" t="s">
        <v>390</v>
      </c>
      <c r="E135">
        <v>1375</v>
      </c>
      <c r="F135">
        <v>317</v>
      </c>
      <c r="G135">
        <v>96.68</v>
      </c>
      <c r="L135">
        <v>24</v>
      </c>
      <c r="M135">
        <v>1084</v>
      </c>
      <c r="N135">
        <v>267</v>
      </c>
    </row>
    <row r="136" spans="1:16" x14ac:dyDescent="0.2">
      <c r="A136" t="s">
        <v>341</v>
      </c>
      <c r="B136" t="s">
        <v>346</v>
      </c>
      <c r="C136" t="s">
        <v>517</v>
      </c>
      <c r="D136" t="s">
        <v>390</v>
      </c>
      <c r="E136">
        <v>1330</v>
      </c>
      <c r="F136">
        <v>308</v>
      </c>
      <c r="G136">
        <v>96.68</v>
      </c>
      <c r="L136">
        <v>16</v>
      </c>
      <c r="M136">
        <v>1047</v>
      </c>
      <c r="N136">
        <v>267</v>
      </c>
    </row>
    <row r="137" spans="1:16" x14ac:dyDescent="0.2">
      <c r="A137" t="s">
        <v>341</v>
      </c>
      <c r="B137" t="s">
        <v>347</v>
      </c>
      <c r="C137" t="s">
        <v>517</v>
      </c>
      <c r="D137" t="s">
        <v>390</v>
      </c>
      <c r="E137">
        <v>43</v>
      </c>
      <c r="F137">
        <v>9</v>
      </c>
      <c r="G137">
        <v>98.12</v>
      </c>
      <c r="L137">
        <v>8</v>
      </c>
      <c r="M137">
        <v>35</v>
      </c>
    </row>
    <row r="138" spans="1:16" x14ac:dyDescent="0.2">
      <c r="A138" t="s">
        <v>341</v>
      </c>
      <c r="B138" t="s">
        <v>348</v>
      </c>
      <c r="C138" t="s">
        <v>517</v>
      </c>
      <c r="D138" t="s">
        <v>390</v>
      </c>
      <c r="E138">
        <v>2</v>
      </c>
      <c r="G138">
        <v>64.5</v>
      </c>
      <c r="M138">
        <v>2</v>
      </c>
    </row>
    <row r="139" spans="1:16" x14ac:dyDescent="0.2">
      <c r="A139" t="s">
        <v>341</v>
      </c>
      <c r="B139" t="s">
        <v>417</v>
      </c>
      <c r="C139" t="s">
        <v>518</v>
      </c>
      <c r="D139" t="s">
        <v>390</v>
      </c>
      <c r="E139">
        <v>584</v>
      </c>
      <c r="F139">
        <v>276</v>
      </c>
      <c r="G139">
        <v>135.62</v>
      </c>
      <c r="L139">
        <v>82</v>
      </c>
      <c r="M139">
        <v>293</v>
      </c>
      <c r="N139">
        <v>95</v>
      </c>
      <c r="O139">
        <v>89</v>
      </c>
      <c r="P139">
        <v>25</v>
      </c>
    </row>
    <row r="140" spans="1:16" x14ac:dyDescent="0.2">
      <c r="A140" t="s">
        <v>341</v>
      </c>
      <c r="B140" t="s">
        <v>346</v>
      </c>
      <c r="C140" t="s">
        <v>518</v>
      </c>
      <c r="D140" t="s">
        <v>390</v>
      </c>
      <c r="E140">
        <v>518</v>
      </c>
      <c r="F140">
        <v>248</v>
      </c>
      <c r="G140">
        <v>137.71</v>
      </c>
      <c r="L140">
        <v>62</v>
      </c>
      <c r="M140">
        <v>279</v>
      </c>
      <c r="N140">
        <v>94</v>
      </c>
      <c r="O140">
        <v>63</v>
      </c>
      <c r="P140">
        <v>20</v>
      </c>
    </row>
    <row r="141" spans="1:16" x14ac:dyDescent="0.2">
      <c r="A141" t="s">
        <v>341</v>
      </c>
      <c r="B141" t="s">
        <v>347</v>
      </c>
      <c r="C141" t="s">
        <v>518</v>
      </c>
      <c r="D141" t="s">
        <v>390</v>
      </c>
      <c r="E141">
        <v>65</v>
      </c>
      <c r="F141">
        <v>28</v>
      </c>
      <c r="G141">
        <v>120.62</v>
      </c>
      <c r="L141">
        <v>19</v>
      </c>
      <c r="M141">
        <v>14</v>
      </c>
      <c r="N141">
        <v>1</v>
      </c>
      <c r="O141">
        <v>26</v>
      </c>
      <c r="P141">
        <v>5</v>
      </c>
    </row>
    <row r="142" spans="1:16" x14ac:dyDescent="0.2">
      <c r="A142" t="s">
        <v>341</v>
      </c>
      <c r="B142" t="s">
        <v>348</v>
      </c>
      <c r="C142" t="s">
        <v>518</v>
      </c>
      <c r="D142" t="s">
        <v>390</v>
      </c>
      <c r="E142">
        <v>1</v>
      </c>
      <c r="G142">
        <v>25</v>
      </c>
      <c r="L142">
        <v>1</v>
      </c>
    </row>
    <row r="143" spans="1:16" x14ac:dyDescent="0.2">
      <c r="A143" t="s">
        <v>341</v>
      </c>
      <c r="B143" t="s">
        <v>417</v>
      </c>
      <c r="C143" t="s">
        <v>519</v>
      </c>
      <c r="D143" t="s">
        <v>390</v>
      </c>
      <c r="E143">
        <v>359</v>
      </c>
      <c r="F143">
        <v>20</v>
      </c>
      <c r="G143">
        <v>74.94</v>
      </c>
      <c r="L143">
        <v>42</v>
      </c>
      <c r="M143">
        <v>277</v>
      </c>
      <c r="N143">
        <v>17</v>
      </c>
      <c r="O143">
        <v>19</v>
      </c>
      <c r="P143">
        <v>4</v>
      </c>
    </row>
    <row r="144" spans="1:16" x14ac:dyDescent="0.2">
      <c r="A144" t="s">
        <v>341</v>
      </c>
      <c r="B144" t="s">
        <v>346</v>
      </c>
      <c r="C144" t="s">
        <v>519</v>
      </c>
      <c r="D144" t="s">
        <v>390</v>
      </c>
      <c r="E144">
        <v>357</v>
      </c>
      <c r="F144">
        <v>20</v>
      </c>
      <c r="G144">
        <v>75.150000000000006</v>
      </c>
      <c r="L144">
        <v>40</v>
      </c>
      <c r="M144">
        <v>277</v>
      </c>
      <c r="N144">
        <v>17</v>
      </c>
      <c r="O144">
        <v>19</v>
      </c>
      <c r="P144">
        <v>4</v>
      </c>
    </row>
    <row r="145" spans="1:16" x14ac:dyDescent="0.2">
      <c r="A145" t="s">
        <v>341</v>
      </c>
      <c r="B145" t="s">
        <v>348</v>
      </c>
      <c r="C145" t="s">
        <v>519</v>
      </c>
      <c r="D145" t="s">
        <v>390</v>
      </c>
      <c r="E145">
        <v>2</v>
      </c>
      <c r="G145">
        <v>38</v>
      </c>
      <c r="L145">
        <v>2</v>
      </c>
    </row>
    <row r="146" spans="1:16" x14ac:dyDescent="0.2">
      <c r="A146" t="s">
        <v>341</v>
      </c>
      <c r="B146" t="s">
        <v>417</v>
      </c>
      <c r="C146" t="s">
        <v>520</v>
      </c>
      <c r="D146" t="s">
        <v>390</v>
      </c>
      <c r="E146">
        <v>1891</v>
      </c>
      <c r="F146">
        <v>396</v>
      </c>
      <c r="G146">
        <v>93.98</v>
      </c>
      <c r="L146">
        <v>71</v>
      </c>
      <c r="M146">
        <v>1365</v>
      </c>
      <c r="N146">
        <v>397</v>
      </c>
      <c r="O146">
        <v>58</v>
      </c>
    </row>
    <row r="147" spans="1:16" x14ac:dyDescent="0.2">
      <c r="A147" t="s">
        <v>341</v>
      </c>
      <c r="B147" t="s">
        <v>346</v>
      </c>
      <c r="C147" t="s">
        <v>520</v>
      </c>
      <c r="D147" t="s">
        <v>390</v>
      </c>
      <c r="E147">
        <v>1638</v>
      </c>
      <c r="F147">
        <v>347</v>
      </c>
      <c r="G147">
        <v>94.27</v>
      </c>
      <c r="L147">
        <v>16</v>
      </c>
      <c r="M147">
        <v>1223</v>
      </c>
      <c r="N147">
        <v>393</v>
      </c>
      <c r="O147">
        <v>6</v>
      </c>
    </row>
    <row r="148" spans="1:16" x14ac:dyDescent="0.2">
      <c r="A148" t="s">
        <v>341</v>
      </c>
      <c r="B148" t="s">
        <v>347</v>
      </c>
      <c r="C148" t="s">
        <v>520</v>
      </c>
      <c r="D148" t="s">
        <v>390</v>
      </c>
      <c r="E148">
        <v>251</v>
      </c>
      <c r="F148">
        <v>49</v>
      </c>
      <c r="G148">
        <v>92.37</v>
      </c>
      <c r="L148">
        <v>55</v>
      </c>
      <c r="M148">
        <v>141</v>
      </c>
      <c r="N148">
        <v>3</v>
      </c>
      <c r="O148">
        <v>52</v>
      </c>
    </row>
    <row r="149" spans="1:16" x14ac:dyDescent="0.2">
      <c r="A149" t="s">
        <v>341</v>
      </c>
      <c r="B149" t="s">
        <v>348</v>
      </c>
      <c r="C149" t="s">
        <v>520</v>
      </c>
      <c r="D149" t="s">
        <v>390</v>
      </c>
      <c r="E149">
        <v>2</v>
      </c>
      <c r="G149">
        <v>61</v>
      </c>
      <c r="M149">
        <v>1</v>
      </c>
      <c r="N149">
        <v>1</v>
      </c>
    </row>
    <row r="150" spans="1:16" x14ac:dyDescent="0.2">
      <c r="A150" t="s">
        <v>341</v>
      </c>
      <c r="B150" t="s">
        <v>417</v>
      </c>
      <c r="C150" t="s">
        <v>521</v>
      </c>
      <c r="D150" t="s">
        <v>390</v>
      </c>
      <c r="E150">
        <v>532</v>
      </c>
      <c r="F150">
        <v>256</v>
      </c>
      <c r="G150">
        <v>133.9</v>
      </c>
      <c r="L150">
        <v>71</v>
      </c>
      <c r="M150">
        <v>302</v>
      </c>
      <c r="N150">
        <v>58</v>
      </c>
      <c r="O150">
        <v>78</v>
      </c>
      <c r="P150">
        <v>22</v>
      </c>
    </row>
    <row r="151" spans="1:16" x14ac:dyDescent="0.2">
      <c r="A151" t="s">
        <v>341</v>
      </c>
      <c r="B151" t="s">
        <v>346</v>
      </c>
      <c r="C151" t="s">
        <v>521</v>
      </c>
      <c r="D151" t="s">
        <v>390</v>
      </c>
      <c r="E151">
        <v>493</v>
      </c>
      <c r="F151">
        <v>240</v>
      </c>
      <c r="G151">
        <v>135.09</v>
      </c>
      <c r="L151">
        <v>60</v>
      </c>
      <c r="M151">
        <v>288</v>
      </c>
      <c r="N151">
        <v>58</v>
      </c>
      <c r="O151">
        <v>67</v>
      </c>
      <c r="P151">
        <v>19</v>
      </c>
    </row>
    <row r="152" spans="1:16" x14ac:dyDescent="0.2">
      <c r="A152" t="s">
        <v>341</v>
      </c>
      <c r="B152" t="s">
        <v>347</v>
      </c>
      <c r="C152" t="s">
        <v>521</v>
      </c>
      <c r="D152" t="s">
        <v>390</v>
      </c>
      <c r="E152">
        <v>39</v>
      </c>
      <c r="F152">
        <v>16</v>
      </c>
      <c r="G152">
        <v>118.82</v>
      </c>
      <c r="L152">
        <v>11</v>
      </c>
      <c r="M152">
        <v>14</v>
      </c>
      <c r="O152">
        <v>11</v>
      </c>
      <c r="P152">
        <v>3</v>
      </c>
    </row>
    <row r="153" spans="1:16" x14ac:dyDescent="0.2">
      <c r="A153" t="s">
        <v>341</v>
      </c>
      <c r="B153" t="s">
        <v>417</v>
      </c>
      <c r="C153" t="s">
        <v>522</v>
      </c>
      <c r="D153" t="s">
        <v>390</v>
      </c>
      <c r="E153">
        <v>207</v>
      </c>
      <c r="F153">
        <v>3</v>
      </c>
      <c r="G153">
        <v>68.94</v>
      </c>
      <c r="L153">
        <v>32</v>
      </c>
      <c r="M153">
        <v>155</v>
      </c>
      <c r="N153">
        <v>13</v>
      </c>
      <c r="O153">
        <v>6</v>
      </c>
      <c r="P153">
        <v>1</v>
      </c>
    </row>
    <row r="154" spans="1:16" x14ac:dyDescent="0.2">
      <c r="A154" t="s">
        <v>341</v>
      </c>
      <c r="B154" t="s">
        <v>346</v>
      </c>
      <c r="C154" t="s">
        <v>522</v>
      </c>
      <c r="D154" t="s">
        <v>390</v>
      </c>
      <c r="E154">
        <v>207</v>
      </c>
      <c r="F154">
        <v>3</v>
      </c>
      <c r="G154">
        <v>68.94</v>
      </c>
      <c r="L154">
        <v>32</v>
      </c>
      <c r="M154">
        <v>155</v>
      </c>
      <c r="N154">
        <v>13</v>
      </c>
      <c r="O154">
        <v>6</v>
      </c>
      <c r="P154">
        <v>1</v>
      </c>
    </row>
    <row r="155" spans="1:16" x14ac:dyDescent="0.2">
      <c r="A155" t="s">
        <v>341</v>
      </c>
      <c r="B155" t="s">
        <v>417</v>
      </c>
      <c r="C155" t="s">
        <v>523</v>
      </c>
      <c r="D155" t="s">
        <v>390</v>
      </c>
      <c r="E155">
        <v>1626</v>
      </c>
      <c r="F155">
        <v>284</v>
      </c>
      <c r="G155">
        <v>82.31</v>
      </c>
      <c r="L155">
        <v>47</v>
      </c>
      <c r="M155">
        <v>1115</v>
      </c>
      <c r="N155">
        <v>429</v>
      </c>
      <c r="O155">
        <v>35</v>
      </c>
    </row>
    <row r="156" spans="1:16" x14ac:dyDescent="0.2">
      <c r="A156" t="s">
        <v>341</v>
      </c>
      <c r="B156" t="s">
        <v>346</v>
      </c>
      <c r="C156" t="s">
        <v>523</v>
      </c>
      <c r="D156" t="s">
        <v>390</v>
      </c>
      <c r="E156">
        <v>1495</v>
      </c>
      <c r="F156">
        <v>269</v>
      </c>
      <c r="G156">
        <v>82.71</v>
      </c>
      <c r="L156">
        <v>15</v>
      </c>
      <c r="M156">
        <v>1048</v>
      </c>
      <c r="N156">
        <v>429</v>
      </c>
      <c r="O156">
        <v>3</v>
      </c>
    </row>
    <row r="157" spans="1:16" x14ac:dyDescent="0.2">
      <c r="A157" t="s">
        <v>341</v>
      </c>
      <c r="B157" t="s">
        <v>347</v>
      </c>
      <c r="C157" t="s">
        <v>523</v>
      </c>
      <c r="D157" t="s">
        <v>390</v>
      </c>
      <c r="E157">
        <v>130</v>
      </c>
      <c r="F157">
        <v>15</v>
      </c>
      <c r="G157">
        <v>78.22</v>
      </c>
      <c r="L157">
        <v>32</v>
      </c>
      <c r="M157">
        <v>66</v>
      </c>
      <c r="O157">
        <v>32</v>
      </c>
    </row>
    <row r="158" spans="1:16" x14ac:dyDescent="0.2">
      <c r="A158" t="s">
        <v>341</v>
      </c>
      <c r="B158" t="s">
        <v>348</v>
      </c>
      <c r="C158" t="s">
        <v>523</v>
      </c>
      <c r="D158" t="s">
        <v>390</v>
      </c>
      <c r="E158">
        <v>1</v>
      </c>
      <c r="G158">
        <v>18</v>
      </c>
      <c r="M158">
        <v>1</v>
      </c>
    </row>
    <row r="159" spans="1:16" x14ac:dyDescent="0.2">
      <c r="A159" t="s">
        <v>341</v>
      </c>
      <c r="B159" t="s">
        <v>417</v>
      </c>
      <c r="C159" t="s">
        <v>524</v>
      </c>
      <c r="D159" t="s">
        <v>390</v>
      </c>
      <c r="E159">
        <v>2161</v>
      </c>
      <c r="F159">
        <v>759</v>
      </c>
      <c r="G159">
        <v>120.62</v>
      </c>
      <c r="L159">
        <v>336</v>
      </c>
      <c r="M159">
        <v>1058</v>
      </c>
      <c r="N159">
        <v>318</v>
      </c>
      <c r="O159">
        <v>363</v>
      </c>
      <c r="P159">
        <v>86</v>
      </c>
    </row>
    <row r="160" spans="1:16" x14ac:dyDescent="0.2">
      <c r="A160" t="s">
        <v>341</v>
      </c>
      <c r="B160" t="s">
        <v>346</v>
      </c>
      <c r="C160" t="s">
        <v>524</v>
      </c>
      <c r="D160" t="s">
        <v>390</v>
      </c>
      <c r="E160">
        <v>2013</v>
      </c>
      <c r="F160">
        <v>718</v>
      </c>
      <c r="G160">
        <v>122.99</v>
      </c>
      <c r="L160">
        <v>270</v>
      </c>
      <c r="M160">
        <v>1026</v>
      </c>
      <c r="N160">
        <v>314</v>
      </c>
      <c r="O160">
        <v>326</v>
      </c>
      <c r="P160">
        <v>77</v>
      </c>
    </row>
    <row r="161" spans="1:16" x14ac:dyDescent="0.2">
      <c r="A161" t="s">
        <v>341</v>
      </c>
      <c r="B161" t="s">
        <v>347</v>
      </c>
      <c r="C161" t="s">
        <v>524</v>
      </c>
      <c r="D161" t="s">
        <v>390</v>
      </c>
      <c r="E161">
        <v>144</v>
      </c>
      <c r="F161">
        <v>41</v>
      </c>
      <c r="G161">
        <v>90.03</v>
      </c>
      <c r="L161">
        <v>64</v>
      </c>
      <c r="M161">
        <v>32</v>
      </c>
      <c r="N161">
        <v>3</v>
      </c>
      <c r="O161">
        <v>36</v>
      </c>
      <c r="P161">
        <v>9</v>
      </c>
    </row>
    <row r="162" spans="1:16" x14ac:dyDescent="0.2">
      <c r="A162" t="s">
        <v>341</v>
      </c>
      <c r="B162" t="s">
        <v>348</v>
      </c>
      <c r="C162" t="s">
        <v>524</v>
      </c>
      <c r="D162" t="s">
        <v>390</v>
      </c>
      <c r="E162">
        <v>4</v>
      </c>
      <c r="G162">
        <v>25.5</v>
      </c>
      <c r="L162">
        <v>2</v>
      </c>
      <c r="N162">
        <v>1</v>
      </c>
      <c r="O162">
        <v>1</v>
      </c>
    </row>
    <row r="163" spans="1:16" x14ac:dyDescent="0.2">
      <c r="A163" t="s">
        <v>341</v>
      </c>
      <c r="B163" t="s">
        <v>417</v>
      </c>
      <c r="C163" t="s">
        <v>525</v>
      </c>
      <c r="D163" t="s">
        <v>390</v>
      </c>
      <c r="E163">
        <v>360</v>
      </c>
      <c r="F163">
        <v>91</v>
      </c>
      <c r="G163">
        <v>117.99</v>
      </c>
      <c r="L163">
        <v>52</v>
      </c>
      <c r="M163">
        <v>232</v>
      </c>
      <c r="N163">
        <v>50</v>
      </c>
      <c r="O163">
        <v>19</v>
      </c>
      <c r="P163">
        <v>7</v>
      </c>
    </row>
    <row r="164" spans="1:16" x14ac:dyDescent="0.2">
      <c r="A164" t="s">
        <v>341</v>
      </c>
      <c r="B164" t="s">
        <v>346</v>
      </c>
      <c r="C164" t="s">
        <v>525</v>
      </c>
      <c r="D164" t="s">
        <v>390</v>
      </c>
      <c r="E164">
        <v>360</v>
      </c>
      <c r="F164">
        <v>91</v>
      </c>
      <c r="G164">
        <v>117.99</v>
      </c>
      <c r="L164">
        <v>52</v>
      </c>
      <c r="M164">
        <v>232</v>
      </c>
      <c r="N164">
        <v>50</v>
      </c>
      <c r="O164">
        <v>19</v>
      </c>
      <c r="P164">
        <v>7</v>
      </c>
    </row>
    <row r="165" spans="1:16" x14ac:dyDescent="0.2">
      <c r="A165" t="s">
        <v>341</v>
      </c>
      <c r="B165" t="s">
        <v>417</v>
      </c>
      <c r="C165" t="s">
        <v>526</v>
      </c>
      <c r="D165" t="s">
        <v>390</v>
      </c>
      <c r="E165">
        <v>5601</v>
      </c>
      <c r="F165">
        <v>1141</v>
      </c>
      <c r="G165">
        <v>93.45</v>
      </c>
      <c r="L165">
        <v>250</v>
      </c>
      <c r="M165">
        <v>3813</v>
      </c>
      <c r="N165">
        <v>1419</v>
      </c>
      <c r="O165">
        <v>119</v>
      </c>
    </row>
    <row r="166" spans="1:16" x14ac:dyDescent="0.2">
      <c r="A166" t="s">
        <v>341</v>
      </c>
      <c r="B166" t="s">
        <v>346</v>
      </c>
      <c r="C166" t="s">
        <v>526</v>
      </c>
      <c r="D166" t="s">
        <v>390</v>
      </c>
      <c r="E166">
        <v>5026</v>
      </c>
      <c r="F166">
        <v>1052</v>
      </c>
      <c r="G166">
        <v>95.13</v>
      </c>
      <c r="L166">
        <v>49</v>
      </c>
      <c r="M166">
        <v>3543</v>
      </c>
      <c r="N166">
        <v>1415</v>
      </c>
      <c r="O166">
        <v>19</v>
      </c>
    </row>
    <row r="167" spans="1:16" x14ac:dyDescent="0.2">
      <c r="A167" t="s">
        <v>341</v>
      </c>
      <c r="B167" t="s">
        <v>347</v>
      </c>
      <c r="C167" t="s">
        <v>526</v>
      </c>
      <c r="D167" t="s">
        <v>390</v>
      </c>
      <c r="E167">
        <v>570</v>
      </c>
      <c r="F167">
        <v>88</v>
      </c>
      <c r="G167">
        <v>78.650000000000006</v>
      </c>
      <c r="L167">
        <v>201</v>
      </c>
      <c r="M167">
        <v>269</v>
      </c>
      <c r="O167">
        <v>100</v>
      </c>
    </row>
    <row r="168" spans="1:16" x14ac:dyDescent="0.2">
      <c r="A168" t="s">
        <v>341</v>
      </c>
      <c r="B168" t="s">
        <v>348</v>
      </c>
      <c r="C168" t="s">
        <v>526</v>
      </c>
      <c r="D168" t="s">
        <v>390</v>
      </c>
      <c r="E168">
        <v>5</v>
      </c>
      <c r="F168">
        <v>1</v>
      </c>
      <c r="G168">
        <v>89.8</v>
      </c>
      <c r="M168">
        <v>1</v>
      </c>
      <c r="N168">
        <v>4</v>
      </c>
    </row>
    <row r="169" spans="1:16" x14ac:dyDescent="0.2">
      <c r="A169" t="s">
        <v>341</v>
      </c>
      <c r="B169" t="s">
        <v>417</v>
      </c>
      <c r="C169" t="s">
        <v>527</v>
      </c>
      <c r="D169" t="s">
        <v>390</v>
      </c>
      <c r="E169">
        <v>1575</v>
      </c>
      <c r="F169">
        <v>524</v>
      </c>
      <c r="G169">
        <v>112.72</v>
      </c>
      <c r="L169">
        <v>261</v>
      </c>
      <c r="M169">
        <v>846</v>
      </c>
      <c r="N169">
        <v>233</v>
      </c>
      <c r="O169">
        <v>190</v>
      </c>
      <c r="P169">
        <v>45</v>
      </c>
    </row>
    <row r="170" spans="1:16" x14ac:dyDescent="0.2">
      <c r="A170" t="s">
        <v>341</v>
      </c>
      <c r="B170" t="s">
        <v>346</v>
      </c>
      <c r="C170" t="s">
        <v>527</v>
      </c>
      <c r="D170" t="s">
        <v>390</v>
      </c>
      <c r="E170">
        <v>1477</v>
      </c>
      <c r="F170">
        <v>482</v>
      </c>
      <c r="G170">
        <v>113.16</v>
      </c>
      <c r="L170">
        <v>225</v>
      </c>
      <c r="M170">
        <v>817</v>
      </c>
      <c r="N170">
        <v>229</v>
      </c>
      <c r="O170">
        <v>165</v>
      </c>
      <c r="P170">
        <v>41</v>
      </c>
    </row>
    <row r="171" spans="1:16" x14ac:dyDescent="0.2">
      <c r="A171" t="s">
        <v>341</v>
      </c>
      <c r="B171" t="s">
        <v>347</v>
      </c>
      <c r="C171" t="s">
        <v>527</v>
      </c>
      <c r="D171" t="s">
        <v>390</v>
      </c>
      <c r="E171">
        <v>91</v>
      </c>
      <c r="F171">
        <v>39</v>
      </c>
      <c r="G171">
        <v>107.95</v>
      </c>
      <c r="L171">
        <v>34</v>
      </c>
      <c r="M171">
        <v>26</v>
      </c>
      <c r="N171">
        <v>2</v>
      </c>
      <c r="O171">
        <v>25</v>
      </c>
      <c r="P171">
        <v>4</v>
      </c>
    </row>
    <row r="172" spans="1:16" x14ac:dyDescent="0.2">
      <c r="A172" t="s">
        <v>341</v>
      </c>
      <c r="B172" t="s">
        <v>348</v>
      </c>
      <c r="C172" t="s">
        <v>527</v>
      </c>
      <c r="D172" t="s">
        <v>390</v>
      </c>
      <c r="E172">
        <v>7</v>
      </c>
      <c r="F172">
        <v>3</v>
      </c>
      <c r="G172">
        <v>82.57</v>
      </c>
      <c r="L172">
        <v>2</v>
      </c>
      <c r="M172">
        <v>3</v>
      </c>
      <c r="N172">
        <v>2</v>
      </c>
    </row>
    <row r="173" spans="1:16" x14ac:dyDescent="0.2">
      <c r="A173" t="s">
        <v>341</v>
      </c>
      <c r="B173" t="s">
        <v>417</v>
      </c>
      <c r="C173" t="s">
        <v>528</v>
      </c>
      <c r="D173" t="s">
        <v>390</v>
      </c>
      <c r="E173">
        <v>209</v>
      </c>
      <c r="F173">
        <v>20</v>
      </c>
      <c r="G173">
        <v>75.12</v>
      </c>
      <c r="L173">
        <v>49</v>
      </c>
      <c r="M173">
        <v>145</v>
      </c>
      <c r="N173">
        <v>9</v>
      </c>
      <c r="O173">
        <v>5</v>
      </c>
      <c r="P173">
        <v>1</v>
      </c>
    </row>
    <row r="174" spans="1:16" x14ac:dyDescent="0.2">
      <c r="A174" t="s">
        <v>341</v>
      </c>
      <c r="B174" t="s">
        <v>346</v>
      </c>
      <c r="C174" t="s">
        <v>528</v>
      </c>
      <c r="D174" t="s">
        <v>390</v>
      </c>
      <c r="E174">
        <v>209</v>
      </c>
      <c r="F174">
        <v>20</v>
      </c>
      <c r="G174">
        <v>75.12</v>
      </c>
      <c r="L174">
        <v>49</v>
      </c>
      <c r="M174">
        <v>145</v>
      </c>
      <c r="N174">
        <v>9</v>
      </c>
      <c r="O174">
        <v>5</v>
      </c>
      <c r="P174">
        <v>1</v>
      </c>
    </row>
    <row r="175" spans="1:16" x14ac:dyDescent="0.2">
      <c r="A175" t="s">
        <v>341</v>
      </c>
      <c r="B175" t="s">
        <v>417</v>
      </c>
      <c r="C175" t="s">
        <v>529</v>
      </c>
      <c r="D175" t="s">
        <v>390</v>
      </c>
      <c r="E175">
        <v>4307</v>
      </c>
      <c r="F175">
        <v>768</v>
      </c>
      <c r="G175">
        <v>86.25</v>
      </c>
      <c r="L175">
        <v>199</v>
      </c>
      <c r="M175">
        <v>3073</v>
      </c>
      <c r="N175">
        <v>955</v>
      </c>
      <c r="O175">
        <v>80</v>
      </c>
    </row>
    <row r="176" spans="1:16" x14ac:dyDescent="0.2">
      <c r="A176" t="s">
        <v>341</v>
      </c>
      <c r="B176" t="s">
        <v>346</v>
      </c>
      <c r="C176" t="s">
        <v>529</v>
      </c>
      <c r="D176" t="s">
        <v>390</v>
      </c>
      <c r="E176">
        <v>3861</v>
      </c>
      <c r="F176">
        <v>709</v>
      </c>
      <c r="G176">
        <v>87.26</v>
      </c>
      <c r="L176">
        <v>37</v>
      </c>
      <c r="M176">
        <v>2871</v>
      </c>
      <c r="N176">
        <v>949</v>
      </c>
      <c r="O176">
        <v>4</v>
      </c>
    </row>
    <row r="177" spans="1:16" x14ac:dyDescent="0.2">
      <c r="A177" t="s">
        <v>341</v>
      </c>
      <c r="B177" t="s">
        <v>347</v>
      </c>
      <c r="C177" t="s">
        <v>529</v>
      </c>
      <c r="D177" t="s">
        <v>390</v>
      </c>
      <c r="E177">
        <v>433</v>
      </c>
      <c r="F177">
        <v>57</v>
      </c>
      <c r="G177">
        <v>77.510000000000005</v>
      </c>
      <c r="L177">
        <v>162</v>
      </c>
      <c r="M177">
        <v>192</v>
      </c>
      <c r="N177">
        <v>3</v>
      </c>
      <c r="O177">
        <v>76</v>
      </c>
    </row>
    <row r="178" spans="1:16" x14ac:dyDescent="0.2">
      <c r="A178" t="s">
        <v>341</v>
      </c>
      <c r="B178" t="s">
        <v>348</v>
      </c>
      <c r="C178" t="s">
        <v>529</v>
      </c>
      <c r="D178" t="s">
        <v>390</v>
      </c>
      <c r="E178">
        <v>13</v>
      </c>
      <c r="F178">
        <v>2</v>
      </c>
      <c r="G178">
        <v>76.150000000000006</v>
      </c>
      <c r="M178">
        <v>10</v>
      </c>
      <c r="N178">
        <v>3</v>
      </c>
    </row>
    <row r="179" spans="1:16" x14ac:dyDescent="0.2">
      <c r="A179" t="s">
        <v>341</v>
      </c>
      <c r="B179" t="s">
        <v>417</v>
      </c>
      <c r="C179" t="s">
        <v>530</v>
      </c>
      <c r="D179" t="s">
        <v>390</v>
      </c>
      <c r="E179">
        <v>643</v>
      </c>
      <c r="F179">
        <v>238</v>
      </c>
      <c r="G179">
        <v>115.67</v>
      </c>
      <c r="L179">
        <v>102</v>
      </c>
      <c r="M179">
        <v>323</v>
      </c>
      <c r="N179">
        <v>97</v>
      </c>
      <c r="O179">
        <v>98</v>
      </c>
      <c r="P179">
        <v>23</v>
      </c>
    </row>
    <row r="180" spans="1:16" x14ac:dyDescent="0.2">
      <c r="A180" t="s">
        <v>341</v>
      </c>
      <c r="B180" t="s">
        <v>346</v>
      </c>
      <c r="C180" t="s">
        <v>530</v>
      </c>
      <c r="D180" t="s">
        <v>390</v>
      </c>
      <c r="E180">
        <v>553</v>
      </c>
      <c r="F180">
        <v>195</v>
      </c>
      <c r="G180">
        <v>111.41</v>
      </c>
      <c r="L180">
        <v>74</v>
      </c>
      <c r="M180">
        <v>298</v>
      </c>
      <c r="N180">
        <v>96</v>
      </c>
      <c r="O180">
        <v>70</v>
      </c>
      <c r="P180">
        <v>15</v>
      </c>
    </row>
    <row r="181" spans="1:16" x14ac:dyDescent="0.2">
      <c r="A181" t="s">
        <v>341</v>
      </c>
      <c r="B181" t="s">
        <v>347</v>
      </c>
      <c r="C181" t="s">
        <v>530</v>
      </c>
      <c r="D181" t="s">
        <v>390</v>
      </c>
      <c r="E181">
        <v>90</v>
      </c>
      <c r="F181">
        <v>43</v>
      </c>
      <c r="G181">
        <v>141.91</v>
      </c>
      <c r="L181">
        <v>28</v>
      </c>
      <c r="M181">
        <v>25</v>
      </c>
      <c r="N181">
        <v>1</v>
      </c>
      <c r="O181">
        <v>28</v>
      </c>
      <c r="P181">
        <v>8</v>
      </c>
    </row>
    <row r="182" spans="1:16" x14ac:dyDescent="0.2">
      <c r="A182" t="s">
        <v>341</v>
      </c>
      <c r="B182" t="s">
        <v>417</v>
      </c>
      <c r="C182" t="s">
        <v>531</v>
      </c>
      <c r="D182" t="s">
        <v>390</v>
      </c>
      <c r="E182">
        <v>120</v>
      </c>
      <c r="F182">
        <v>15</v>
      </c>
      <c r="G182">
        <v>92.09</v>
      </c>
      <c r="L182">
        <v>17</v>
      </c>
      <c r="M182">
        <v>86</v>
      </c>
      <c r="N182">
        <v>9</v>
      </c>
      <c r="O182">
        <v>6</v>
      </c>
      <c r="P182">
        <v>2</v>
      </c>
    </row>
    <row r="183" spans="1:16" x14ac:dyDescent="0.2">
      <c r="A183" t="s">
        <v>341</v>
      </c>
      <c r="B183" t="s">
        <v>346</v>
      </c>
      <c r="C183" t="s">
        <v>531</v>
      </c>
      <c r="D183" t="s">
        <v>390</v>
      </c>
      <c r="E183">
        <v>120</v>
      </c>
      <c r="F183">
        <v>15</v>
      </c>
      <c r="G183">
        <v>92.09</v>
      </c>
      <c r="L183">
        <v>17</v>
      </c>
      <c r="M183">
        <v>86</v>
      </c>
      <c r="N183">
        <v>9</v>
      </c>
      <c r="O183">
        <v>6</v>
      </c>
      <c r="P183">
        <v>2</v>
      </c>
    </row>
    <row r="184" spans="1:16" x14ac:dyDescent="0.2">
      <c r="A184" t="s">
        <v>341</v>
      </c>
      <c r="B184" t="s">
        <v>417</v>
      </c>
      <c r="C184" t="s">
        <v>532</v>
      </c>
      <c r="D184" t="s">
        <v>390</v>
      </c>
      <c r="E184">
        <v>1965</v>
      </c>
      <c r="F184">
        <v>352</v>
      </c>
      <c r="G184">
        <v>88.54</v>
      </c>
      <c r="L184">
        <v>78</v>
      </c>
      <c r="M184">
        <v>1379</v>
      </c>
      <c r="N184">
        <v>458</v>
      </c>
      <c r="O184">
        <v>50</v>
      </c>
    </row>
    <row r="185" spans="1:16" x14ac:dyDescent="0.2">
      <c r="A185" t="s">
        <v>341</v>
      </c>
      <c r="B185" t="s">
        <v>346</v>
      </c>
      <c r="C185" t="s">
        <v>532</v>
      </c>
      <c r="D185" t="s">
        <v>390</v>
      </c>
      <c r="E185">
        <v>1718</v>
      </c>
      <c r="F185">
        <v>310</v>
      </c>
      <c r="G185">
        <v>88.41</v>
      </c>
      <c r="L185">
        <v>22</v>
      </c>
      <c r="M185">
        <v>1233</v>
      </c>
      <c r="N185">
        <v>456</v>
      </c>
      <c r="O185">
        <v>7</v>
      </c>
    </row>
    <row r="186" spans="1:16" x14ac:dyDescent="0.2">
      <c r="A186" t="s">
        <v>341</v>
      </c>
      <c r="B186" t="s">
        <v>347</v>
      </c>
      <c r="C186" t="s">
        <v>532</v>
      </c>
      <c r="D186" t="s">
        <v>390</v>
      </c>
      <c r="E186">
        <v>246</v>
      </c>
      <c r="F186">
        <v>42</v>
      </c>
      <c r="G186">
        <v>89.54</v>
      </c>
      <c r="L186">
        <v>56</v>
      </c>
      <c r="M186">
        <v>145</v>
      </c>
      <c r="N186">
        <v>2</v>
      </c>
      <c r="O186">
        <v>43</v>
      </c>
    </row>
    <row r="187" spans="1:16" x14ac:dyDescent="0.2">
      <c r="A187" t="s">
        <v>341</v>
      </c>
      <c r="B187" t="s">
        <v>348</v>
      </c>
      <c r="C187" t="s">
        <v>532</v>
      </c>
      <c r="D187" t="s">
        <v>390</v>
      </c>
      <c r="E187">
        <v>1</v>
      </c>
      <c r="G187">
        <v>66</v>
      </c>
      <c r="M187">
        <v>1</v>
      </c>
    </row>
    <row r="188" spans="1:16" x14ac:dyDescent="0.2">
      <c r="A188" t="s">
        <v>341</v>
      </c>
      <c r="B188" t="s">
        <v>417</v>
      </c>
      <c r="C188" t="s">
        <v>533</v>
      </c>
      <c r="D188" t="s">
        <v>390</v>
      </c>
      <c r="E188">
        <v>1091</v>
      </c>
      <c r="F188">
        <v>320</v>
      </c>
      <c r="G188">
        <v>108.32</v>
      </c>
      <c r="L188">
        <v>141</v>
      </c>
      <c r="M188">
        <v>590</v>
      </c>
      <c r="N188">
        <v>149</v>
      </c>
      <c r="O188">
        <v>178</v>
      </c>
      <c r="P188">
        <v>33</v>
      </c>
    </row>
    <row r="189" spans="1:16" x14ac:dyDescent="0.2">
      <c r="A189" t="s">
        <v>341</v>
      </c>
      <c r="B189" t="s">
        <v>346</v>
      </c>
      <c r="C189" t="s">
        <v>533</v>
      </c>
      <c r="D189" t="s">
        <v>390</v>
      </c>
      <c r="E189">
        <v>1020</v>
      </c>
      <c r="F189">
        <v>298</v>
      </c>
      <c r="G189">
        <v>107.9</v>
      </c>
      <c r="L189">
        <v>116</v>
      </c>
      <c r="M189">
        <v>570</v>
      </c>
      <c r="N189">
        <v>147</v>
      </c>
      <c r="O189">
        <v>156</v>
      </c>
      <c r="P189">
        <v>31</v>
      </c>
    </row>
    <row r="190" spans="1:16" x14ac:dyDescent="0.2">
      <c r="A190" t="s">
        <v>341</v>
      </c>
      <c r="B190" t="s">
        <v>347</v>
      </c>
      <c r="C190" t="s">
        <v>533</v>
      </c>
      <c r="D190" t="s">
        <v>390</v>
      </c>
      <c r="E190">
        <v>63</v>
      </c>
      <c r="F190">
        <v>21</v>
      </c>
      <c r="G190">
        <v>114.17</v>
      </c>
      <c r="L190">
        <v>24</v>
      </c>
      <c r="M190">
        <v>16</v>
      </c>
      <c r="O190">
        <v>21</v>
      </c>
      <c r="P190">
        <v>2</v>
      </c>
    </row>
    <row r="191" spans="1:16" x14ac:dyDescent="0.2">
      <c r="A191" t="s">
        <v>341</v>
      </c>
      <c r="B191" t="s">
        <v>348</v>
      </c>
      <c r="C191" t="s">
        <v>533</v>
      </c>
      <c r="D191" t="s">
        <v>390</v>
      </c>
      <c r="E191">
        <v>7</v>
      </c>
      <c r="G191">
        <v>34</v>
      </c>
      <c r="L191">
        <v>1</v>
      </c>
      <c r="M191">
        <v>4</v>
      </c>
      <c r="N191">
        <v>1</v>
      </c>
      <c r="O191">
        <v>1</v>
      </c>
    </row>
    <row r="192" spans="1:16" x14ac:dyDescent="0.2">
      <c r="A192" t="s">
        <v>341</v>
      </c>
      <c r="B192" t="s">
        <v>349</v>
      </c>
      <c r="C192" t="s">
        <v>533</v>
      </c>
      <c r="D192" t="s">
        <v>390</v>
      </c>
      <c r="E192">
        <v>1</v>
      </c>
      <c r="F192">
        <v>1</v>
      </c>
      <c r="G192">
        <v>681</v>
      </c>
      <c r="N192">
        <v>1</v>
      </c>
    </row>
    <row r="193" spans="1:16" x14ac:dyDescent="0.2">
      <c r="A193" t="s">
        <v>341</v>
      </c>
      <c r="B193" t="s">
        <v>417</v>
      </c>
      <c r="C193" t="s">
        <v>534</v>
      </c>
      <c r="D193" t="s">
        <v>390</v>
      </c>
      <c r="E193">
        <v>250</v>
      </c>
      <c r="F193">
        <v>35</v>
      </c>
      <c r="G193">
        <v>77.13</v>
      </c>
      <c r="L193">
        <v>72</v>
      </c>
      <c r="M193">
        <v>149</v>
      </c>
      <c r="N193">
        <v>15</v>
      </c>
      <c r="O193">
        <v>8</v>
      </c>
      <c r="P193">
        <v>6</v>
      </c>
    </row>
    <row r="194" spans="1:16" x14ac:dyDescent="0.2">
      <c r="A194" t="s">
        <v>341</v>
      </c>
      <c r="B194" t="s">
        <v>346</v>
      </c>
      <c r="C194" t="s">
        <v>534</v>
      </c>
      <c r="D194" t="s">
        <v>390</v>
      </c>
      <c r="E194">
        <v>246</v>
      </c>
      <c r="F194">
        <v>34</v>
      </c>
      <c r="G194">
        <v>77.12</v>
      </c>
      <c r="L194">
        <v>71</v>
      </c>
      <c r="M194">
        <v>146</v>
      </c>
      <c r="N194">
        <v>15</v>
      </c>
      <c r="O194">
        <v>8</v>
      </c>
      <c r="P194">
        <v>6</v>
      </c>
    </row>
    <row r="195" spans="1:16" x14ac:dyDescent="0.2">
      <c r="A195" t="s">
        <v>341</v>
      </c>
      <c r="B195" t="s">
        <v>347</v>
      </c>
      <c r="C195" t="s">
        <v>534</v>
      </c>
      <c r="D195" t="s">
        <v>390</v>
      </c>
      <c r="E195">
        <v>2</v>
      </c>
      <c r="F195">
        <v>1</v>
      </c>
      <c r="G195">
        <v>125</v>
      </c>
      <c r="L195">
        <v>1</v>
      </c>
      <c r="M195">
        <v>1</v>
      </c>
    </row>
    <row r="196" spans="1:16" x14ac:dyDescent="0.2">
      <c r="A196" t="s">
        <v>341</v>
      </c>
      <c r="B196" t="s">
        <v>348</v>
      </c>
      <c r="C196" t="s">
        <v>534</v>
      </c>
      <c r="D196" t="s">
        <v>390</v>
      </c>
      <c r="E196">
        <v>2</v>
      </c>
      <c r="G196">
        <v>30</v>
      </c>
      <c r="M196">
        <v>2</v>
      </c>
    </row>
    <row r="197" spans="1:16" x14ac:dyDescent="0.2">
      <c r="A197" t="s">
        <v>341</v>
      </c>
      <c r="B197" t="s">
        <v>417</v>
      </c>
      <c r="C197" t="s">
        <v>535</v>
      </c>
      <c r="D197" t="s">
        <v>390</v>
      </c>
      <c r="E197">
        <v>3466</v>
      </c>
      <c r="F197">
        <v>602</v>
      </c>
      <c r="G197">
        <v>92.52</v>
      </c>
      <c r="L197">
        <v>164</v>
      </c>
      <c r="M197">
        <v>2314</v>
      </c>
      <c r="N197">
        <v>904</v>
      </c>
      <c r="O197">
        <v>84</v>
      </c>
    </row>
    <row r="198" spans="1:16" x14ac:dyDescent="0.2">
      <c r="A198" t="s">
        <v>341</v>
      </c>
      <c r="B198" t="s">
        <v>346</v>
      </c>
      <c r="C198" t="s">
        <v>535</v>
      </c>
      <c r="D198" t="s">
        <v>390</v>
      </c>
      <c r="E198">
        <v>3137</v>
      </c>
      <c r="F198">
        <v>560</v>
      </c>
      <c r="G198">
        <v>94.01</v>
      </c>
      <c r="L198">
        <v>48</v>
      </c>
      <c r="M198">
        <v>2173</v>
      </c>
      <c r="N198">
        <v>902</v>
      </c>
      <c r="O198">
        <v>14</v>
      </c>
    </row>
    <row r="199" spans="1:16" x14ac:dyDescent="0.2">
      <c r="A199" t="s">
        <v>341</v>
      </c>
      <c r="B199" t="s">
        <v>347</v>
      </c>
      <c r="C199" t="s">
        <v>535</v>
      </c>
      <c r="D199" t="s">
        <v>390</v>
      </c>
      <c r="E199">
        <v>321</v>
      </c>
      <c r="F199">
        <v>40</v>
      </c>
      <c r="G199">
        <v>78.17</v>
      </c>
      <c r="L199">
        <v>116</v>
      </c>
      <c r="M199">
        <v>133</v>
      </c>
      <c r="N199">
        <v>2</v>
      </c>
      <c r="O199">
        <v>70</v>
      </c>
    </row>
    <row r="200" spans="1:16" x14ac:dyDescent="0.2">
      <c r="A200" t="s">
        <v>341</v>
      </c>
      <c r="B200" t="s">
        <v>348</v>
      </c>
      <c r="C200" t="s">
        <v>535</v>
      </c>
      <c r="D200" t="s">
        <v>390</v>
      </c>
      <c r="E200">
        <v>8</v>
      </c>
      <c r="F200">
        <v>2</v>
      </c>
      <c r="G200">
        <v>82.63</v>
      </c>
      <c r="M200">
        <v>8</v>
      </c>
    </row>
    <row r="201" spans="1:16" x14ac:dyDescent="0.2">
      <c r="A201" t="s">
        <v>341</v>
      </c>
      <c r="B201" t="s">
        <v>417</v>
      </c>
      <c r="C201" t="s">
        <v>536</v>
      </c>
      <c r="D201" t="s">
        <v>390</v>
      </c>
      <c r="E201">
        <v>1675</v>
      </c>
      <c r="F201">
        <v>547</v>
      </c>
      <c r="G201">
        <v>113</v>
      </c>
      <c r="L201">
        <v>282</v>
      </c>
      <c r="M201">
        <v>830</v>
      </c>
      <c r="N201">
        <v>259</v>
      </c>
      <c r="O201">
        <v>256</v>
      </c>
      <c r="P201">
        <v>48</v>
      </c>
    </row>
    <row r="202" spans="1:16" x14ac:dyDescent="0.2">
      <c r="A202" t="s">
        <v>341</v>
      </c>
      <c r="B202" t="s">
        <v>346</v>
      </c>
      <c r="C202" t="s">
        <v>536</v>
      </c>
      <c r="D202" t="s">
        <v>390</v>
      </c>
      <c r="E202">
        <v>1561</v>
      </c>
      <c r="F202">
        <v>514</v>
      </c>
      <c r="G202">
        <v>114.4</v>
      </c>
      <c r="L202">
        <v>227</v>
      </c>
      <c r="M202">
        <v>808</v>
      </c>
      <c r="N202">
        <v>258</v>
      </c>
      <c r="O202">
        <v>222</v>
      </c>
      <c r="P202">
        <v>46</v>
      </c>
    </row>
    <row r="203" spans="1:16" x14ac:dyDescent="0.2">
      <c r="A203" t="s">
        <v>341</v>
      </c>
      <c r="B203" t="s">
        <v>347</v>
      </c>
      <c r="C203" t="s">
        <v>536</v>
      </c>
      <c r="D203" t="s">
        <v>390</v>
      </c>
      <c r="E203">
        <v>113</v>
      </c>
      <c r="F203">
        <v>33</v>
      </c>
      <c r="G203">
        <v>94.14</v>
      </c>
      <c r="L203">
        <v>55</v>
      </c>
      <c r="M203">
        <v>22</v>
      </c>
      <c r="O203">
        <v>34</v>
      </c>
      <c r="P203">
        <v>2</v>
      </c>
    </row>
    <row r="204" spans="1:16" x14ac:dyDescent="0.2">
      <c r="A204" t="s">
        <v>341</v>
      </c>
      <c r="B204" t="s">
        <v>348</v>
      </c>
      <c r="C204" t="s">
        <v>536</v>
      </c>
      <c r="D204" t="s">
        <v>390</v>
      </c>
      <c r="E204">
        <v>1</v>
      </c>
      <c r="G204">
        <v>44</v>
      </c>
      <c r="N204">
        <v>1</v>
      </c>
    </row>
    <row r="205" spans="1:16" x14ac:dyDescent="0.2">
      <c r="A205" t="s">
        <v>341</v>
      </c>
      <c r="B205" t="s">
        <v>417</v>
      </c>
      <c r="C205" t="s">
        <v>537</v>
      </c>
      <c r="D205" t="s">
        <v>390</v>
      </c>
      <c r="E205">
        <v>289</v>
      </c>
      <c r="F205">
        <v>45</v>
      </c>
      <c r="G205">
        <v>96.87</v>
      </c>
      <c r="L205">
        <v>33</v>
      </c>
      <c r="M205">
        <v>182</v>
      </c>
      <c r="N205">
        <v>41</v>
      </c>
      <c r="O205">
        <v>21</v>
      </c>
      <c r="P205">
        <v>12</v>
      </c>
    </row>
    <row r="206" spans="1:16" x14ac:dyDescent="0.2">
      <c r="A206" t="s">
        <v>341</v>
      </c>
      <c r="B206" t="s">
        <v>346</v>
      </c>
      <c r="C206" t="s">
        <v>537</v>
      </c>
      <c r="D206" t="s">
        <v>390</v>
      </c>
      <c r="E206">
        <v>289</v>
      </c>
      <c r="F206">
        <v>45</v>
      </c>
      <c r="G206">
        <v>96.87</v>
      </c>
      <c r="L206">
        <v>33</v>
      </c>
      <c r="M206">
        <v>182</v>
      </c>
      <c r="N206">
        <v>41</v>
      </c>
      <c r="O206">
        <v>21</v>
      </c>
      <c r="P206">
        <v>12</v>
      </c>
    </row>
    <row r="207" spans="1:16" x14ac:dyDescent="0.2">
      <c r="A207" t="s">
        <v>341</v>
      </c>
      <c r="B207" t="s">
        <v>417</v>
      </c>
      <c r="C207" t="s">
        <v>538</v>
      </c>
      <c r="D207" t="s">
        <v>390</v>
      </c>
      <c r="E207">
        <v>4792</v>
      </c>
      <c r="F207">
        <v>895</v>
      </c>
      <c r="G207">
        <v>90.26</v>
      </c>
      <c r="L207">
        <v>228</v>
      </c>
      <c r="M207">
        <v>3222</v>
      </c>
      <c r="N207">
        <v>1253</v>
      </c>
      <c r="O207">
        <v>89</v>
      </c>
    </row>
    <row r="208" spans="1:16" x14ac:dyDescent="0.2">
      <c r="A208" t="s">
        <v>341</v>
      </c>
      <c r="B208" t="s">
        <v>346</v>
      </c>
      <c r="C208" t="s">
        <v>538</v>
      </c>
      <c r="D208" t="s">
        <v>390</v>
      </c>
      <c r="E208">
        <v>4339</v>
      </c>
      <c r="F208">
        <v>842</v>
      </c>
      <c r="G208">
        <v>92.05</v>
      </c>
      <c r="L208">
        <v>52</v>
      </c>
      <c r="M208">
        <v>3022</v>
      </c>
      <c r="N208">
        <v>1252</v>
      </c>
      <c r="O208">
        <v>13</v>
      </c>
    </row>
    <row r="209" spans="1:16" x14ac:dyDescent="0.2">
      <c r="A209" t="s">
        <v>341</v>
      </c>
      <c r="B209" t="s">
        <v>347</v>
      </c>
      <c r="C209" t="s">
        <v>538</v>
      </c>
      <c r="D209" t="s">
        <v>390</v>
      </c>
      <c r="E209">
        <v>446</v>
      </c>
      <c r="F209">
        <v>52</v>
      </c>
      <c r="G209">
        <v>73.069999999999993</v>
      </c>
      <c r="L209">
        <v>176</v>
      </c>
      <c r="M209">
        <v>194</v>
      </c>
      <c r="O209">
        <v>76</v>
      </c>
    </row>
    <row r="210" spans="1:16" x14ac:dyDescent="0.2">
      <c r="A210" t="s">
        <v>341</v>
      </c>
      <c r="B210" t="s">
        <v>348</v>
      </c>
      <c r="C210" t="s">
        <v>538</v>
      </c>
      <c r="D210" t="s">
        <v>390</v>
      </c>
      <c r="E210">
        <v>7</v>
      </c>
      <c r="F210">
        <v>1</v>
      </c>
      <c r="G210">
        <v>72.709999999999994</v>
      </c>
      <c r="M210">
        <v>6</v>
      </c>
      <c r="N210">
        <v>1</v>
      </c>
    </row>
    <row r="211" spans="1:16" x14ac:dyDescent="0.2">
      <c r="A211" t="s">
        <v>341</v>
      </c>
      <c r="B211" t="s">
        <v>417</v>
      </c>
      <c r="C211" t="s">
        <v>539</v>
      </c>
      <c r="D211" t="s">
        <v>390</v>
      </c>
      <c r="E211">
        <v>703</v>
      </c>
      <c r="F211">
        <v>273</v>
      </c>
      <c r="G211">
        <v>119.2</v>
      </c>
      <c r="L211">
        <v>146</v>
      </c>
      <c r="M211">
        <v>306</v>
      </c>
      <c r="N211">
        <v>94</v>
      </c>
      <c r="O211">
        <v>117</v>
      </c>
      <c r="P211">
        <v>40</v>
      </c>
    </row>
    <row r="212" spans="1:16" x14ac:dyDescent="0.2">
      <c r="A212" t="s">
        <v>341</v>
      </c>
      <c r="B212" t="s">
        <v>346</v>
      </c>
      <c r="C212" t="s">
        <v>539</v>
      </c>
      <c r="D212" t="s">
        <v>390</v>
      </c>
      <c r="E212">
        <v>643</v>
      </c>
      <c r="F212">
        <v>243</v>
      </c>
      <c r="G212">
        <v>118.81</v>
      </c>
      <c r="L212">
        <v>128</v>
      </c>
      <c r="M212">
        <v>286</v>
      </c>
      <c r="N212">
        <v>93</v>
      </c>
      <c r="O212">
        <v>101</v>
      </c>
      <c r="P212">
        <v>35</v>
      </c>
    </row>
    <row r="213" spans="1:16" x14ac:dyDescent="0.2">
      <c r="A213" t="s">
        <v>341</v>
      </c>
      <c r="B213" t="s">
        <v>347</v>
      </c>
      <c r="C213" t="s">
        <v>539</v>
      </c>
      <c r="D213" t="s">
        <v>390</v>
      </c>
      <c r="E213">
        <v>59</v>
      </c>
      <c r="F213">
        <v>30</v>
      </c>
      <c r="G213">
        <v>125.03</v>
      </c>
      <c r="L213">
        <v>18</v>
      </c>
      <c r="M213">
        <v>19</v>
      </c>
      <c r="N213">
        <v>1</v>
      </c>
      <c r="O213">
        <v>16</v>
      </c>
      <c r="P213">
        <v>5</v>
      </c>
    </row>
    <row r="214" spans="1:16" x14ac:dyDescent="0.2">
      <c r="A214" t="s">
        <v>341</v>
      </c>
      <c r="B214" t="s">
        <v>348</v>
      </c>
      <c r="C214" t="s">
        <v>539</v>
      </c>
      <c r="D214" t="s">
        <v>390</v>
      </c>
      <c r="E214">
        <v>1</v>
      </c>
      <c r="G214">
        <v>24</v>
      </c>
      <c r="M214">
        <v>1</v>
      </c>
    </row>
    <row r="215" spans="1:16" x14ac:dyDescent="0.2">
      <c r="A215" t="s">
        <v>341</v>
      </c>
      <c r="B215" t="s">
        <v>417</v>
      </c>
      <c r="C215" t="s">
        <v>540</v>
      </c>
      <c r="D215" t="s">
        <v>390</v>
      </c>
      <c r="E215">
        <v>447</v>
      </c>
      <c r="F215">
        <v>51</v>
      </c>
      <c r="G215">
        <v>81.64</v>
      </c>
      <c r="L215">
        <v>57</v>
      </c>
      <c r="M215">
        <v>331</v>
      </c>
      <c r="N215">
        <v>48</v>
      </c>
      <c r="O215">
        <v>6</v>
      </c>
      <c r="P215">
        <v>5</v>
      </c>
    </row>
    <row r="216" spans="1:16" x14ac:dyDescent="0.2">
      <c r="A216" t="s">
        <v>341</v>
      </c>
      <c r="B216" t="s">
        <v>346</v>
      </c>
      <c r="C216" t="s">
        <v>540</v>
      </c>
      <c r="D216" t="s">
        <v>390</v>
      </c>
      <c r="E216">
        <v>444</v>
      </c>
      <c r="F216">
        <v>49</v>
      </c>
      <c r="G216">
        <v>81.069999999999993</v>
      </c>
      <c r="L216">
        <v>57</v>
      </c>
      <c r="M216">
        <v>328</v>
      </c>
      <c r="N216">
        <v>48</v>
      </c>
      <c r="O216">
        <v>6</v>
      </c>
      <c r="P216">
        <v>5</v>
      </c>
    </row>
    <row r="217" spans="1:16" x14ac:dyDescent="0.2">
      <c r="A217" t="s">
        <v>341</v>
      </c>
      <c r="B217" t="s">
        <v>348</v>
      </c>
      <c r="C217" t="s">
        <v>540</v>
      </c>
      <c r="D217" t="s">
        <v>390</v>
      </c>
      <c r="E217">
        <v>3</v>
      </c>
      <c r="F217">
        <v>2</v>
      </c>
      <c r="G217">
        <v>165.33</v>
      </c>
      <c r="M217">
        <v>3</v>
      </c>
    </row>
    <row r="218" spans="1:16" x14ac:dyDescent="0.2">
      <c r="A218" t="s">
        <v>341</v>
      </c>
      <c r="B218" t="s">
        <v>417</v>
      </c>
      <c r="C218" t="s">
        <v>541</v>
      </c>
      <c r="D218" t="s">
        <v>390</v>
      </c>
      <c r="E218">
        <v>2746</v>
      </c>
      <c r="F218">
        <v>580</v>
      </c>
      <c r="G218">
        <v>92.86</v>
      </c>
      <c r="L218">
        <v>83</v>
      </c>
      <c r="M218">
        <v>2050</v>
      </c>
      <c r="N218">
        <v>561</v>
      </c>
      <c r="O218">
        <v>52</v>
      </c>
    </row>
    <row r="219" spans="1:16" x14ac:dyDescent="0.2">
      <c r="A219" t="s">
        <v>341</v>
      </c>
      <c r="B219" t="s">
        <v>346</v>
      </c>
      <c r="C219" t="s">
        <v>541</v>
      </c>
      <c r="D219" t="s">
        <v>390</v>
      </c>
      <c r="E219">
        <v>2480</v>
      </c>
      <c r="F219">
        <v>523</v>
      </c>
      <c r="G219">
        <v>92.22</v>
      </c>
      <c r="L219">
        <v>17</v>
      </c>
      <c r="M219">
        <v>1894</v>
      </c>
      <c r="N219">
        <v>559</v>
      </c>
      <c r="O219">
        <v>10</v>
      </c>
    </row>
    <row r="220" spans="1:16" x14ac:dyDescent="0.2">
      <c r="A220" t="s">
        <v>341</v>
      </c>
      <c r="B220" t="s">
        <v>347</v>
      </c>
      <c r="C220" t="s">
        <v>541</v>
      </c>
      <c r="D220" t="s">
        <v>390</v>
      </c>
      <c r="E220">
        <v>261</v>
      </c>
      <c r="F220">
        <v>55</v>
      </c>
      <c r="G220">
        <v>98.77</v>
      </c>
      <c r="L220">
        <v>65</v>
      </c>
      <c r="M220">
        <v>153</v>
      </c>
      <c r="N220">
        <v>1</v>
      </c>
      <c r="O220">
        <v>42</v>
      </c>
    </row>
    <row r="221" spans="1:16" x14ac:dyDescent="0.2">
      <c r="A221" t="s">
        <v>341</v>
      </c>
      <c r="B221" t="s">
        <v>348</v>
      </c>
      <c r="C221" t="s">
        <v>541</v>
      </c>
      <c r="D221" t="s">
        <v>390</v>
      </c>
      <c r="E221">
        <v>5</v>
      </c>
      <c r="F221">
        <v>2</v>
      </c>
      <c r="G221">
        <v>101.2</v>
      </c>
      <c r="L221">
        <v>1</v>
      </c>
      <c r="M221">
        <v>3</v>
      </c>
      <c r="N221">
        <v>1</v>
      </c>
    </row>
    <row r="222" spans="1:16" x14ac:dyDescent="0.2">
      <c r="A222" t="s">
        <v>341</v>
      </c>
      <c r="B222" t="s">
        <v>417</v>
      </c>
      <c r="C222" t="s">
        <v>542</v>
      </c>
      <c r="D222" t="s">
        <v>390</v>
      </c>
      <c r="E222">
        <v>2107</v>
      </c>
      <c r="F222">
        <v>706</v>
      </c>
      <c r="G222">
        <v>113.55</v>
      </c>
      <c r="L222">
        <v>243</v>
      </c>
      <c r="M222">
        <v>1187</v>
      </c>
      <c r="N222">
        <v>353</v>
      </c>
      <c r="O222">
        <v>264</v>
      </c>
      <c r="P222">
        <v>60</v>
      </c>
    </row>
    <row r="223" spans="1:16" x14ac:dyDescent="0.2">
      <c r="A223" t="s">
        <v>341</v>
      </c>
      <c r="B223" t="s">
        <v>346</v>
      </c>
      <c r="C223" t="s">
        <v>542</v>
      </c>
      <c r="D223" t="s">
        <v>390</v>
      </c>
      <c r="E223">
        <v>1977</v>
      </c>
      <c r="F223">
        <v>648</v>
      </c>
      <c r="G223">
        <v>113.26</v>
      </c>
      <c r="L223">
        <v>207</v>
      </c>
      <c r="M223">
        <v>1144</v>
      </c>
      <c r="N223">
        <v>350</v>
      </c>
      <c r="O223">
        <v>225</v>
      </c>
      <c r="P223">
        <v>51</v>
      </c>
    </row>
    <row r="224" spans="1:16" x14ac:dyDescent="0.2">
      <c r="A224" t="s">
        <v>341</v>
      </c>
      <c r="B224" t="s">
        <v>347</v>
      </c>
      <c r="C224" t="s">
        <v>542</v>
      </c>
      <c r="D224" t="s">
        <v>390</v>
      </c>
      <c r="E224">
        <v>119</v>
      </c>
      <c r="F224">
        <v>51</v>
      </c>
      <c r="G224">
        <v>111.29</v>
      </c>
      <c r="L224">
        <v>35</v>
      </c>
      <c r="M224">
        <v>37</v>
      </c>
      <c r="N224">
        <v>1</v>
      </c>
      <c r="O224">
        <v>38</v>
      </c>
      <c r="P224">
        <v>8</v>
      </c>
    </row>
    <row r="225" spans="1:16" x14ac:dyDescent="0.2">
      <c r="A225" t="s">
        <v>341</v>
      </c>
      <c r="B225" t="s">
        <v>348</v>
      </c>
      <c r="C225" t="s">
        <v>542</v>
      </c>
      <c r="D225" t="s">
        <v>390</v>
      </c>
      <c r="E225">
        <v>9</v>
      </c>
      <c r="F225">
        <v>6</v>
      </c>
      <c r="G225">
        <v>185.22</v>
      </c>
      <c r="L225">
        <v>1</v>
      </c>
      <c r="M225">
        <v>4</v>
      </c>
      <c r="N225">
        <v>2</v>
      </c>
      <c r="O225">
        <v>1</v>
      </c>
      <c r="P225">
        <v>1</v>
      </c>
    </row>
    <row r="226" spans="1:16" x14ac:dyDescent="0.2">
      <c r="A226" t="s">
        <v>341</v>
      </c>
      <c r="B226" t="s">
        <v>349</v>
      </c>
      <c r="C226" t="s">
        <v>542</v>
      </c>
      <c r="D226" t="s">
        <v>390</v>
      </c>
      <c r="E226">
        <v>2</v>
      </c>
      <c r="F226">
        <v>1</v>
      </c>
      <c r="G226">
        <v>212.5</v>
      </c>
      <c r="M226">
        <v>2</v>
      </c>
    </row>
    <row r="227" spans="1:16" x14ac:dyDescent="0.2">
      <c r="A227" t="s">
        <v>341</v>
      </c>
      <c r="B227" t="s">
        <v>417</v>
      </c>
      <c r="C227" t="s">
        <v>543</v>
      </c>
      <c r="D227" t="s">
        <v>390</v>
      </c>
      <c r="E227">
        <v>328</v>
      </c>
      <c r="F227">
        <v>77</v>
      </c>
      <c r="G227">
        <v>93.39</v>
      </c>
      <c r="L227">
        <v>65</v>
      </c>
      <c r="M227">
        <v>187</v>
      </c>
      <c r="N227">
        <v>30</v>
      </c>
      <c r="O227">
        <v>38</v>
      </c>
      <c r="P227">
        <v>8</v>
      </c>
    </row>
    <row r="228" spans="1:16" x14ac:dyDescent="0.2">
      <c r="A228" t="s">
        <v>341</v>
      </c>
      <c r="B228" t="s">
        <v>346</v>
      </c>
      <c r="C228" t="s">
        <v>543</v>
      </c>
      <c r="D228" t="s">
        <v>390</v>
      </c>
      <c r="E228">
        <v>328</v>
      </c>
      <c r="F228">
        <v>77</v>
      </c>
      <c r="G228">
        <v>93.39</v>
      </c>
      <c r="L228">
        <v>65</v>
      </c>
      <c r="M228">
        <v>187</v>
      </c>
      <c r="N228">
        <v>30</v>
      </c>
      <c r="O228">
        <v>38</v>
      </c>
      <c r="P228">
        <v>8</v>
      </c>
    </row>
    <row r="229" spans="1:16" x14ac:dyDescent="0.2">
      <c r="A229" t="s">
        <v>341</v>
      </c>
      <c r="B229" t="s">
        <v>417</v>
      </c>
      <c r="C229" t="s">
        <v>544</v>
      </c>
      <c r="D229" t="s">
        <v>390</v>
      </c>
      <c r="E229">
        <v>4671</v>
      </c>
      <c r="F229">
        <v>961</v>
      </c>
      <c r="G229">
        <v>93.28</v>
      </c>
      <c r="L229">
        <v>107</v>
      </c>
      <c r="M229">
        <v>3058</v>
      </c>
      <c r="N229">
        <v>1437</v>
      </c>
      <c r="O229">
        <v>69</v>
      </c>
    </row>
    <row r="230" spans="1:16" x14ac:dyDescent="0.2">
      <c r="A230" t="s">
        <v>341</v>
      </c>
      <c r="B230" t="s">
        <v>346</v>
      </c>
      <c r="C230" t="s">
        <v>544</v>
      </c>
      <c r="D230" t="s">
        <v>390</v>
      </c>
      <c r="E230">
        <v>4370</v>
      </c>
      <c r="F230">
        <v>891</v>
      </c>
      <c r="G230">
        <v>93.12</v>
      </c>
      <c r="L230">
        <v>41</v>
      </c>
      <c r="M230">
        <v>2891</v>
      </c>
      <c r="N230">
        <v>1432</v>
      </c>
      <c r="O230">
        <v>6</v>
      </c>
    </row>
    <row r="231" spans="1:16" x14ac:dyDescent="0.2">
      <c r="A231" t="s">
        <v>341</v>
      </c>
      <c r="B231" t="s">
        <v>347</v>
      </c>
      <c r="C231" t="s">
        <v>544</v>
      </c>
      <c r="D231" t="s">
        <v>390</v>
      </c>
      <c r="E231">
        <v>291</v>
      </c>
      <c r="F231">
        <v>66</v>
      </c>
      <c r="G231">
        <v>95.48</v>
      </c>
      <c r="L231">
        <v>66</v>
      </c>
      <c r="M231">
        <v>160</v>
      </c>
      <c r="N231">
        <v>2</v>
      </c>
      <c r="O231">
        <v>63</v>
      </c>
    </row>
    <row r="232" spans="1:16" x14ac:dyDescent="0.2">
      <c r="A232" t="s">
        <v>341</v>
      </c>
      <c r="B232" t="s">
        <v>348</v>
      </c>
      <c r="C232" t="s">
        <v>544</v>
      </c>
      <c r="D232" t="s">
        <v>390</v>
      </c>
      <c r="E232">
        <v>10</v>
      </c>
      <c r="F232">
        <v>4</v>
      </c>
      <c r="G232">
        <v>97.2</v>
      </c>
      <c r="M232">
        <v>7</v>
      </c>
      <c r="N232">
        <v>3</v>
      </c>
    </row>
    <row r="233" spans="1:16" x14ac:dyDescent="0.2">
      <c r="A233" t="s">
        <v>341</v>
      </c>
      <c r="B233" t="s">
        <v>417</v>
      </c>
      <c r="C233" t="s">
        <v>545</v>
      </c>
      <c r="D233" t="s">
        <v>390</v>
      </c>
      <c r="E233">
        <v>319</v>
      </c>
      <c r="F233">
        <v>116</v>
      </c>
      <c r="G233">
        <v>123.31</v>
      </c>
      <c r="L233">
        <v>32</v>
      </c>
      <c r="M233">
        <v>154</v>
      </c>
      <c r="N233">
        <v>55</v>
      </c>
      <c r="O233">
        <v>61</v>
      </c>
      <c r="P233">
        <v>17</v>
      </c>
    </row>
    <row r="234" spans="1:16" x14ac:dyDescent="0.2">
      <c r="A234" t="s">
        <v>341</v>
      </c>
      <c r="B234" t="s">
        <v>346</v>
      </c>
      <c r="C234" t="s">
        <v>545</v>
      </c>
      <c r="D234" t="s">
        <v>390</v>
      </c>
      <c r="E234">
        <v>295</v>
      </c>
      <c r="F234">
        <v>106</v>
      </c>
      <c r="G234">
        <v>123.81</v>
      </c>
      <c r="L234">
        <v>26</v>
      </c>
      <c r="M234">
        <v>147</v>
      </c>
      <c r="N234">
        <v>54</v>
      </c>
      <c r="O234">
        <v>56</v>
      </c>
      <c r="P234">
        <v>12</v>
      </c>
    </row>
    <row r="235" spans="1:16" x14ac:dyDescent="0.2">
      <c r="A235" t="s">
        <v>341</v>
      </c>
      <c r="B235" t="s">
        <v>347</v>
      </c>
      <c r="C235" t="s">
        <v>545</v>
      </c>
      <c r="D235" t="s">
        <v>390</v>
      </c>
      <c r="E235">
        <v>23</v>
      </c>
      <c r="F235">
        <v>10</v>
      </c>
      <c r="G235">
        <v>120.43</v>
      </c>
      <c r="L235">
        <v>5</v>
      </c>
      <c r="M235">
        <v>7</v>
      </c>
      <c r="N235">
        <v>1</v>
      </c>
      <c r="O235">
        <v>5</v>
      </c>
      <c r="P235">
        <v>5</v>
      </c>
    </row>
    <row r="236" spans="1:16" x14ac:dyDescent="0.2">
      <c r="A236" t="s">
        <v>341</v>
      </c>
      <c r="B236" t="s">
        <v>348</v>
      </c>
      <c r="C236" t="s">
        <v>545</v>
      </c>
      <c r="D236" t="s">
        <v>390</v>
      </c>
      <c r="E236">
        <v>1</v>
      </c>
      <c r="G236">
        <v>42</v>
      </c>
      <c r="L236">
        <v>1</v>
      </c>
    </row>
    <row r="237" spans="1:16" x14ac:dyDescent="0.2">
      <c r="A237" t="s">
        <v>341</v>
      </c>
      <c r="B237" t="s">
        <v>417</v>
      </c>
      <c r="C237" t="s">
        <v>546</v>
      </c>
      <c r="D237" t="s">
        <v>390</v>
      </c>
      <c r="E237">
        <v>119</v>
      </c>
      <c r="F237">
        <v>8</v>
      </c>
      <c r="G237">
        <v>61.66</v>
      </c>
      <c r="L237">
        <v>34</v>
      </c>
      <c r="M237">
        <v>78</v>
      </c>
      <c r="N237">
        <v>4</v>
      </c>
      <c r="O237">
        <v>1</v>
      </c>
      <c r="P237">
        <v>2</v>
      </c>
    </row>
    <row r="238" spans="1:16" x14ac:dyDescent="0.2">
      <c r="A238" t="s">
        <v>341</v>
      </c>
      <c r="B238" t="s">
        <v>346</v>
      </c>
      <c r="C238" t="s">
        <v>546</v>
      </c>
      <c r="D238" t="s">
        <v>390</v>
      </c>
      <c r="E238">
        <v>119</v>
      </c>
      <c r="F238">
        <v>8</v>
      </c>
      <c r="G238">
        <v>61.66</v>
      </c>
      <c r="L238">
        <v>34</v>
      </c>
      <c r="M238">
        <v>78</v>
      </c>
      <c r="N238">
        <v>4</v>
      </c>
      <c r="O238">
        <v>1</v>
      </c>
      <c r="P238">
        <v>2</v>
      </c>
    </row>
    <row r="239" spans="1:16" x14ac:dyDescent="0.2">
      <c r="A239" t="s">
        <v>341</v>
      </c>
      <c r="B239" t="s">
        <v>417</v>
      </c>
      <c r="C239" t="s">
        <v>547</v>
      </c>
      <c r="D239" t="s">
        <v>390</v>
      </c>
      <c r="E239">
        <v>945</v>
      </c>
      <c r="F239">
        <v>184</v>
      </c>
      <c r="G239">
        <v>90.84</v>
      </c>
      <c r="L239">
        <v>18</v>
      </c>
      <c r="M239">
        <v>634</v>
      </c>
      <c r="N239">
        <v>265</v>
      </c>
      <c r="O239">
        <v>28</v>
      </c>
    </row>
    <row r="240" spans="1:16" x14ac:dyDescent="0.2">
      <c r="A240" t="s">
        <v>341</v>
      </c>
      <c r="B240" t="s">
        <v>346</v>
      </c>
      <c r="C240" t="s">
        <v>547</v>
      </c>
      <c r="D240" t="s">
        <v>390</v>
      </c>
      <c r="E240">
        <v>862</v>
      </c>
      <c r="F240">
        <v>171</v>
      </c>
      <c r="G240">
        <v>90.73</v>
      </c>
      <c r="L240">
        <v>6</v>
      </c>
      <c r="M240">
        <v>590</v>
      </c>
      <c r="N240">
        <v>263</v>
      </c>
      <c r="O240">
        <v>3</v>
      </c>
    </row>
    <row r="241" spans="1:16" x14ac:dyDescent="0.2">
      <c r="A241" t="s">
        <v>341</v>
      </c>
      <c r="B241" t="s">
        <v>347</v>
      </c>
      <c r="C241" t="s">
        <v>547</v>
      </c>
      <c r="D241" t="s">
        <v>390</v>
      </c>
      <c r="E241">
        <v>79</v>
      </c>
      <c r="F241">
        <v>13</v>
      </c>
      <c r="G241">
        <v>92.48</v>
      </c>
      <c r="L241">
        <v>12</v>
      </c>
      <c r="M241">
        <v>42</v>
      </c>
      <c r="O241">
        <v>25</v>
      </c>
    </row>
    <row r="242" spans="1:16" x14ac:dyDescent="0.2">
      <c r="A242" t="s">
        <v>341</v>
      </c>
      <c r="B242" t="s">
        <v>348</v>
      </c>
      <c r="C242" t="s">
        <v>547</v>
      </c>
      <c r="D242" t="s">
        <v>390</v>
      </c>
      <c r="E242">
        <v>4</v>
      </c>
      <c r="G242">
        <v>84.25</v>
      </c>
      <c r="M242">
        <v>2</v>
      </c>
      <c r="N242">
        <v>2</v>
      </c>
    </row>
    <row r="243" spans="1:16" x14ac:dyDescent="0.2">
      <c r="A243" t="s">
        <v>341</v>
      </c>
      <c r="B243" t="s">
        <v>417</v>
      </c>
      <c r="C243" t="s">
        <v>548</v>
      </c>
      <c r="D243" t="s">
        <v>390</v>
      </c>
      <c r="E243">
        <v>1878</v>
      </c>
      <c r="F243">
        <v>612</v>
      </c>
      <c r="G243">
        <v>122.56</v>
      </c>
      <c r="L243">
        <v>263</v>
      </c>
      <c r="M243">
        <v>987</v>
      </c>
      <c r="N243">
        <v>273</v>
      </c>
      <c r="O243">
        <v>283</v>
      </c>
      <c r="P243">
        <v>72</v>
      </c>
    </row>
    <row r="244" spans="1:16" x14ac:dyDescent="0.2">
      <c r="A244" t="s">
        <v>341</v>
      </c>
      <c r="B244" t="s">
        <v>346</v>
      </c>
      <c r="C244" t="s">
        <v>548</v>
      </c>
      <c r="D244" t="s">
        <v>390</v>
      </c>
      <c r="E244">
        <v>1736</v>
      </c>
      <c r="F244">
        <v>569</v>
      </c>
      <c r="G244">
        <v>124.65</v>
      </c>
      <c r="L244">
        <v>204</v>
      </c>
      <c r="M244">
        <v>962</v>
      </c>
      <c r="N244">
        <v>271</v>
      </c>
      <c r="O244">
        <v>241</v>
      </c>
      <c r="P244">
        <v>58</v>
      </c>
    </row>
    <row r="245" spans="1:16" x14ac:dyDescent="0.2">
      <c r="A245" t="s">
        <v>341</v>
      </c>
      <c r="B245" t="s">
        <v>347</v>
      </c>
      <c r="C245" t="s">
        <v>548</v>
      </c>
      <c r="D245" t="s">
        <v>390</v>
      </c>
      <c r="E245">
        <v>140</v>
      </c>
      <c r="F245">
        <v>42</v>
      </c>
      <c r="G245">
        <v>96.8</v>
      </c>
      <c r="L245">
        <v>59</v>
      </c>
      <c r="M245">
        <v>24</v>
      </c>
      <c r="N245">
        <v>2</v>
      </c>
      <c r="O245">
        <v>41</v>
      </c>
      <c r="P245">
        <v>14</v>
      </c>
    </row>
    <row r="246" spans="1:16" x14ac:dyDescent="0.2">
      <c r="A246" t="s">
        <v>341</v>
      </c>
      <c r="B246" t="s">
        <v>348</v>
      </c>
      <c r="C246" t="s">
        <v>548</v>
      </c>
      <c r="D246" t="s">
        <v>390</v>
      </c>
      <c r="E246">
        <v>2</v>
      </c>
      <c r="F246">
        <v>1</v>
      </c>
      <c r="G246">
        <v>115.5</v>
      </c>
      <c r="M246">
        <v>1</v>
      </c>
      <c r="O246">
        <v>1</v>
      </c>
    </row>
    <row r="247" spans="1:16" x14ac:dyDescent="0.2">
      <c r="A247" t="s">
        <v>341</v>
      </c>
      <c r="B247" t="s">
        <v>417</v>
      </c>
      <c r="C247" t="s">
        <v>549</v>
      </c>
      <c r="D247" t="s">
        <v>390</v>
      </c>
      <c r="E247">
        <v>316</v>
      </c>
      <c r="F247">
        <v>60</v>
      </c>
      <c r="G247">
        <v>97.38</v>
      </c>
      <c r="L247">
        <v>75</v>
      </c>
      <c r="M247">
        <v>178</v>
      </c>
      <c r="N247">
        <v>49</v>
      </c>
      <c r="O247">
        <v>12</v>
      </c>
      <c r="P247">
        <v>2</v>
      </c>
    </row>
    <row r="248" spans="1:16" x14ac:dyDescent="0.2">
      <c r="A248" t="s">
        <v>341</v>
      </c>
      <c r="B248" t="s">
        <v>346</v>
      </c>
      <c r="C248" t="s">
        <v>549</v>
      </c>
      <c r="D248" t="s">
        <v>390</v>
      </c>
      <c r="E248">
        <v>316</v>
      </c>
      <c r="F248">
        <v>60</v>
      </c>
      <c r="G248">
        <v>97.38</v>
      </c>
      <c r="L248">
        <v>75</v>
      </c>
      <c r="M248">
        <v>178</v>
      </c>
      <c r="N248">
        <v>49</v>
      </c>
      <c r="O248">
        <v>12</v>
      </c>
      <c r="P248">
        <v>2</v>
      </c>
    </row>
    <row r="249" spans="1:16" x14ac:dyDescent="0.2">
      <c r="A249" t="s">
        <v>341</v>
      </c>
      <c r="B249" t="s">
        <v>417</v>
      </c>
      <c r="C249" t="s">
        <v>550</v>
      </c>
      <c r="D249" t="s">
        <v>390</v>
      </c>
      <c r="E249">
        <v>5047</v>
      </c>
      <c r="F249">
        <v>902</v>
      </c>
      <c r="G249">
        <v>87.71</v>
      </c>
      <c r="L249">
        <v>279</v>
      </c>
      <c r="M249">
        <v>3431</v>
      </c>
      <c r="N249">
        <v>1206</v>
      </c>
      <c r="O249">
        <v>131</v>
      </c>
    </row>
    <row r="250" spans="1:16" x14ac:dyDescent="0.2">
      <c r="A250" t="s">
        <v>341</v>
      </c>
      <c r="B250" t="s">
        <v>346</v>
      </c>
      <c r="C250" t="s">
        <v>550</v>
      </c>
      <c r="D250" t="s">
        <v>390</v>
      </c>
      <c r="E250">
        <v>4443</v>
      </c>
      <c r="F250">
        <v>824</v>
      </c>
      <c r="G250">
        <v>88.99</v>
      </c>
      <c r="L250">
        <v>66</v>
      </c>
      <c r="M250">
        <v>3159</v>
      </c>
      <c r="N250">
        <v>1205</v>
      </c>
      <c r="O250">
        <v>13</v>
      </c>
    </row>
    <row r="251" spans="1:16" x14ac:dyDescent="0.2">
      <c r="A251" t="s">
        <v>341</v>
      </c>
      <c r="B251" t="s">
        <v>347</v>
      </c>
      <c r="C251" t="s">
        <v>550</v>
      </c>
      <c r="D251" t="s">
        <v>390</v>
      </c>
      <c r="E251">
        <v>598</v>
      </c>
      <c r="F251">
        <v>77</v>
      </c>
      <c r="G251">
        <v>78.44</v>
      </c>
      <c r="L251">
        <v>213</v>
      </c>
      <c r="M251">
        <v>267</v>
      </c>
      <c r="O251">
        <v>118</v>
      </c>
    </row>
    <row r="252" spans="1:16" x14ac:dyDescent="0.2">
      <c r="A252" t="s">
        <v>341</v>
      </c>
      <c r="B252" t="s">
        <v>348</v>
      </c>
      <c r="C252" t="s">
        <v>550</v>
      </c>
      <c r="D252" t="s">
        <v>390</v>
      </c>
      <c r="E252">
        <v>6</v>
      </c>
      <c r="F252">
        <v>1</v>
      </c>
      <c r="G252">
        <v>62</v>
      </c>
      <c r="M252">
        <v>5</v>
      </c>
      <c r="N252">
        <v>1</v>
      </c>
    </row>
    <row r="253" spans="1:16" x14ac:dyDescent="0.2">
      <c r="A253" t="s">
        <v>341</v>
      </c>
      <c r="B253" t="s">
        <v>417</v>
      </c>
      <c r="C253" t="s">
        <v>551</v>
      </c>
      <c r="D253" t="s">
        <v>390</v>
      </c>
      <c r="E253">
        <v>1187</v>
      </c>
      <c r="F253">
        <v>423</v>
      </c>
      <c r="G253">
        <v>117.8</v>
      </c>
      <c r="L253">
        <v>152</v>
      </c>
      <c r="M253">
        <v>692</v>
      </c>
      <c r="N253">
        <v>118</v>
      </c>
      <c r="O253">
        <v>189</v>
      </c>
      <c r="P253">
        <v>36</v>
      </c>
    </row>
    <row r="254" spans="1:16" x14ac:dyDescent="0.2">
      <c r="A254" t="s">
        <v>341</v>
      </c>
      <c r="B254" t="s">
        <v>346</v>
      </c>
      <c r="C254" t="s">
        <v>551</v>
      </c>
      <c r="D254" t="s">
        <v>390</v>
      </c>
      <c r="E254">
        <v>1143</v>
      </c>
      <c r="F254">
        <v>396</v>
      </c>
      <c r="G254">
        <v>117.15</v>
      </c>
      <c r="L254">
        <v>143</v>
      </c>
      <c r="M254">
        <v>676</v>
      </c>
      <c r="N254">
        <v>117</v>
      </c>
      <c r="O254">
        <v>173</v>
      </c>
      <c r="P254">
        <v>34</v>
      </c>
    </row>
    <row r="255" spans="1:16" x14ac:dyDescent="0.2">
      <c r="A255" t="s">
        <v>341</v>
      </c>
      <c r="B255" t="s">
        <v>347</v>
      </c>
      <c r="C255" t="s">
        <v>551</v>
      </c>
      <c r="D255" t="s">
        <v>390</v>
      </c>
      <c r="E255">
        <v>42</v>
      </c>
      <c r="F255">
        <v>26</v>
      </c>
      <c r="G255">
        <v>133.24</v>
      </c>
      <c r="L255">
        <v>9</v>
      </c>
      <c r="M255">
        <v>15</v>
      </c>
      <c r="N255">
        <v>1</v>
      </c>
      <c r="O255">
        <v>15</v>
      </c>
      <c r="P255">
        <v>2</v>
      </c>
    </row>
    <row r="256" spans="1:16" x14ac:dyDescent="0.2">
      <c r="A256" t="s">
        <v>341</v>
      </c>
      <c r="B256" t="s">
        <v>348</v>
      </c>
      <c r="C256" t="s">
        <v>551</v>
      </c>
      <c r="D256" t="s">
        <v>390</v>
      </c>
      <c r="E256">
        <v>2</v>
      </c>
      <c r="F256">
        <v>1</v>
      </c>
      <c r="G256">
        <v>168.5</v>
      </c>
      <c r="M256">
        <v>1</v>
      </c>
      <c r="O256">
        <v>1</v>
      </c>
    </row>
    <row r="257" spans="1:16" x14ac:dyDescent="0.2">
      <c r="A257" t="s">
        <v>341</v>
      </c>
      <c r="B257" t="s">
        <v>417</v>
      </c>
      <c r="C257" t="s">
        <v>552</v>
      </c>
      <c r="D257" t="s">
        <v>390</v>
      </c>
      <c r="E257">
        <v>206</v>
      </c>
      <c r="F257">
        <v>43</v>
      </c>
      <c r="G257">
        <v>101.05</v>
      </c>
      <c r="L257">
        <v>25</v>
      </c>
      <c r="M257">
        <v>141</v>
      </c>
      <c r="N257">
        <v>5</v>
      </c>
      <c r="O257">
        <v>28</v>
      </c>
      <c r="P257">
        <v>7</v>
      </c>
    </row>
    <row r="258" spans="1:16" x14ac:dyDescent="0.2">
      <c r="A258" t="s">
        <v>341</v>
      </c>
      <c r="B258" t="s">
        <v>346</v>
      </c>
      <c r="C258" t="s">
        <v>552</v>
      </c>
      <c r="D258" t="s">
        <v>390</v>
      </c>
      <c r="E258">
        <v>173</v>
      </c>
      <c r="F258">
        <v>27</v>
      </c>
      <c r="G258">
        <v>95.28</v>
      </c>
      <c r="L258">
        <v>17</v>
      </c>
      <c r="M258">
        <v>131</v>
      </c>
      <c r="N258">
        <v>4</v>
      </c>
      <c r="O258">
        <v>18</v>
      </c>
      <c r="P258">
        <v>3</v>
      </c>
    </row>
    <row r="259" spans="1:16" x14ac:dyDescent="0.2">
      <c r="A259" t="s">
        <v>341</v>
      </c>
      <c r="B259" t="s">
        <v>347</v>
      </c>
      <c r="C259" t="s">
        <v>552</v>
      </c>
      <c r="D259" t="s">
        <v>390</v>
      </c>
      <c r="E259">
        <v>33</v>
      </c>
      <c r="F259">
        <v>16</v>
      </c>
      <c r="G259">
        <v>131.33000000000001</v>
      </c>
      <c r="L259">
        <v>8</v>
      </c>
      <c r="M259">
        <v>10</v>
      </c>
      <c r="N259">
        <v>1</v>
      </c>
      <c r="O259">
        <v>10</v>
      </c>
      <c r="P259">
        <v>4</v>
      </c>
    </row>
    <row r="260" spans="1:16" x14ac:dyDescent="0.2">
      <c r="A260" t="s">
        <v>341</v>
      </c>
      <c r="B260" t="s">
        <v>417</v>
      </c>
      <c r="C260" t="s">
        <v>553</v>
      </c>
      <c r="D260" t="s">
        <v>390</v>
      </c>
      <c r="E260">
        <v>3089</v>
      </c>
      <c r="F260">
        <v>556</v>
      </c>
      <c r="G260">
        <v>90.27</v>
      </c>
      <c r="L260">
        <v>82</v>
      </c>
      <c r="M260">
        <v>2227</v>
      </c>
      <c r="N260">
        <v>734</v>
      </c>
      <c r="O260">
        <v>46</v>
      </c>
    </row>
    <row r="261" spans="1:16" x14ac:dyDescent="0.2">
      <c r="A261" t="s">
        <v>341</v>
      </c>
      <c r="B261" t="s">
        <v>346</v>
      </c>
      <c r="C261" t="s">
        <v>553</v>
      </c>
      <c r="D261" t="s">
        <v>390</v>
      </c>
      <c r="E261">
        <v>2854</v>
      </c>
      <c r="F261">
        <v>508</v>
      </c>
      <c r="G261">
        <v>90.21</v>
      </c>
      <c r="L261">
        <v>27</v>
      </c>
      <c r="M261">
        <v>2089</v>
      </c>
      <c r="N261">
        <v>734</v>
      </c>
      <c r="O261">
        <v>4</v>
      </c>
    </row>
    <row r="262" spans="1:16" x14ac:dyDescent="0.2">
      <c r="A262" t="s">
        <v>341</v>
      </c>
      <c r="B262" t="s">
        <v>347</v>
      </c>
      <c r="C262" t="s">
        <v>553</v>
      </c>
      <c r="D262" t="s">
        <v>390</v>
      </c>
      <c r="E262">
        <v>232</v>
      </c>
      <c r="F262">
        <v>47</v>
      </c>
      <c r="G262">
        <v>90.75</v>
      </c>
      <c r="L262">
        <v>55</v>
      </c>
      <c r="M262">
        <v>135</v>
      </c>
      <c r="O262">
        <v>42</v>
      </c>
    </row>
    <row r="263" spans="1:16" x14ac:dyDescent="0.2">
      <c r="A263" t="s">
        <v>341</v>
      </c>
      <c r="B263" t="s">
        <v>348</v>
      </c>
      <c r="C263" t="s">
        <v>553</v>
      </c>
      <c r="D263" t="s">
        <v>390</v>
      </c>
      <c r="E263">
        <v>3</v>
      </c>
      <c r="F263">
        <v>1</v>
      </c>
      <c r="G263">
        <v>106.67</v>
      </c>
      <c r="M263">
        <v>3</v>
      </c>
    </row>
    <row r="264" spans="1:16" x14ac:dyDescent="0.2">
      <c r="A264" t="s">
        <v>341</v>
      </c>
      <c r="B264" t="s">
        <v>417</v>
      </c>
      <c r="C264" t="s">
        <v>554</v>
      </c>
      <c r="D264" t="s">
        <v>390</v>
      </c>
      <c r="E264">
        <v>1469</v>
      </c>
      <c r="F264">
        <v>562</v>
      </c>
      <c r="G264">
        <v>123.2</v>
      </c>
      <c r="L264">
        <v>242</v>
      </c>
      <c r="M264">
        <v>715</v>
      </c>
      <c r="N264">
        <v>221</v>
      </c>
      <c r="O264">
        <v>235</v>
      </c>
      <c r="P264">
        <v>56</v>
      </c>
    </row>
    <row r="265" spans="1:16" x14ac:dyDescent="0.2">
      <c r="A265" t="s">
        <v>341</v>
      </c>
      <c r="B265" t="s">
        <v>346</v>
      </c>
      <c r="C265" t="s">
        <v>554</v>
      </c>
      <c r="D265" t="s">
        <v>390</v>
      </c>
      <c r="E265">
        <v>1344</v>
      </c>
      <c r="F265">
        <v>515</v>
      </c>
      <c r="G265">
        <v>123.86</v>
      </c>
      <c r="L265">
        <v>193</v>
      </c>
      <c r="M265">
        <v>686</v>
      </c>
      <c r="N265">
        <v>221</v>
      </c>
      <c r="O265">
        <v>197</v>
      </c>
      <c r="P265">
        <v>47</v>
      </c>
    </row>
    <row r="266" spans="1:16" x14ac:dyDescent="0.2">
      <c r="A266" t="s">
        <v>341</v>
      </c>
      <c r="B266" t="s">
        <v>347</v>
      </c>
      <c r="C266" t="s">
        <v>554</v>
      </c>
      <c r="D266" t="s">
        <v>390</v>
      </c>
      <c r="E266">
        <v>124</v>
      </c>
      <c r="F266">
        <v>46</v>
      </c>
      <c r="G266">
        <v>115.41</v>
      </c>
      <c r="L266">
        <v>49</v>
      </c>
      <c r="M266">
        <v>28</v>
      </c>
      <c r="O266">
        <v>38</v>
      </c>
      <c r="P266">
        <v>9</v>
      </c>
    </row>
    <row r="267" spans="1:16" x14ac:dyDescent="0.2">
      <c r="A267" t="s">
        <v>341</v>
      </c>
      <c r="B267" t="s">
        <v>348</v>
      </c>
      <c r="C267" t="s">
        <v>554</v>
      </c>
      <c r="D267" t="s">
        <v>390</v>
      </c>
      <c r="E267">
        <v>1</v>
      </c>
      <c r="F267">
        <v>1</v>
      </c>
      <c r="G267">
        <v>201</v>
      </c>
      <c r="M267">
        <v>1</v>
      </c>
    </row>
    <row r="268" spans="1:16" x14ac:dyDescent="0.2">
      <c r="A268" t="s">
        <v>341</v>
      </c>
      <c r="B268" t="s">
        <v>417</v>
      </c>
      <c r="C268" t="s">
        <v>555</v>
      </c>
      <c r="D268" t="s">
        <v>390</v>
      </c>
      <c r="E268">
        <v>437</v>
      </c>
      <c r="F268">
        <v>45</v>
      </c>
      <c r="G268">
        <v>86.6</v>
      </c>
      <c r="L268">
        <v>56</v>
      </c>
      <c r="M268">
        <v>327</v>
      </c>
      <c r="N268">
        <v>27</v>
      </c>
      <c r="O268">
        <v>23</v>
      </c>
      <c r="P268">
        <v>4</v>
      </c>
    </row>
    <row r="269" spans="1:16" x14ac:dyDescent="0.2">
      <c r="A269" t="s">
        <v>341</v>
      </c>
      <c r="B269" t="s">
        <v>346</v>
      </c>
      <c r="C269" t="s">
        <v>555</v>
      </c>
      <c r="D269" t="s">
        <v>390</v>
      </c>
      <c r="E269">
        <v>437</v>
      </c>
      <c r="F269">
        <v>45</v>
      </c>
      <c r="G269">
        <v>86.6</v>
      </c>
      <c r="L269">
        <v>56</v>
      </c>
      <c r="M269">
        <v>327</v>
      </c>
      <c r="N269">
        <v>27</v>
      </c>
      <c r="O269">
        <v>23</v>
      </c>
      <c r="P269">
        <v>4</v>
      </c>
    </row>
    <row r="270" spans="1:16" x14ac:dyDescent="0.2">
      <c r="A270" t="s">
        <v>341</v>
      </c>
      <c r="B270" t="s">
        <v>417</v>
      </c>
      <c r="C270" t="s">
        <v>556</v>
      </c>
      <c r="D270" t="s">
        <v>390</v>
      </c>
      <c r="E270">
        <v>4511</v>
      </c>
      <c r="F270">
        <v>841</v>
      </c>
      <c r="G270">
        <v>88.49</v>
      </c>
      <c r="L270">
        <v>200</v>
      </c>
      <c r="M270">
        <v>3186</v>
      </c>
      <c r="N270">
        <v>1023</v>
      </c>
      <c r="O270">
        <v>102</v>
      </c>
    </row>
    <row r="271" spans="1:16" x14ac:dyDescent="0.2">
      <c r="A271" t="s">
        <v>341</v>
      </c>
      <c r="B271" t="s">
        <v>346</v>
      </c>
      <c r="C271" t="s">
        <v>556</v>
      </c>
      <c r="D271" t="s">
        <v>390</v>
      </c>
      <c r="E271">
        <v>4002</v>
      </c>
      <c r="F271">
        <v>757</v>
      </c>
      <c r="G271">
        <v>89.05</v>
      </c>
      <c r="L271">
        <v>43</v>
      </c>
      <c r="M271">
        <v>2922</v>
      </c>
      <c r="N271">
        <v>1021</v>
      </c>
      <c r="O271">
        <v>16</v>
      </c>
    </row>
    <row r="272" spans="1:16" x14ac:dyDescent="0.2">
      <c r="A272" t="s">
        <v>341</v>
      </c>
      <c r="B272" t="s">
        <v>347</v>
      </c>
      <c r="C272" t="s">
        <v>556</v>
      </c>
      <c r="D272" t="s">
        <v>390</v>
      </c>
      <c r="E272">
        <v>499</v>
      </c>
      <c r="F272">
        <v>80</v>
      </c>
      <c r="G272">
        <v>83.62</v>
      </c>
      <c r="L272">
        <v>156</v>
      </c>
      <c r="M272">
        <v>255</v>
      </c>
      <c r="N272">
        <v>2</v>
      </c>
      <c r="O272">
        <v>86</v>
      </c>
    </row>
    <row r="273" spans="1:16" x14ac:dyDescent="0.2">
      <c r="A273" t="s">
        <v>341</v>
      </c>
      <c r="B273" t="s">
        <v>348</v>
      </c>
      <c r="C273" t="s">
        <v>556</v>
      </c>
      <c r="D273" t="s">
        <v>390</v>
      </c>
      <c r="E273">
        <v>10</v>
      </c>
      <c r="F273">
        <v>4</v>
      </c>
      <c r="G273">
        <v>106.3</v>
      </c>
      <c r="L273">
        <v>1</v>
      </c>
      <c r="M273">
        <v>9</v>
      </c>
    </row>
    <row r="274" spans="1:16" x14ac:dyDescent="0.2">
      <c r="A274" t="s">
        <v>341</v>
      </c>
      <c r="B274" t="s">
        <v>417</v>
      </c>
      <c r="C274" t="s">
        <v>557</v>
      </c>
      <c r="D274" t="s">
        <v>390</v>
      </c>
      <c r="E274">
        <v>1423</v>
      </c>
      <c r="F274">
        <v>565</v>
      </c>
      <c r="G274">
        <v>129.81</v>
      </c>
      <c r="L274">
        <v>175</v>
      </c>
      <c r="M274">
        <v>871</v>
      </c>
      <c r="N274">
        <v>187</v>
      </c>
      <c r="O274">
        <v>164</v>
      </c>
      <c r="P274">
        <v>26</v>
      </c>
    </row>
    <row r="275" spans="1:16" x14ac:dyDescent="0.2">
      <c r="A275" t="s">
        <v>341</v>
      </c>
      <c r="B275" t="s">
        <v>346</v>
      </c>
      <c r="C275" t="s">
        <v>557</v>
      </c>
      <c r="D275" t="s">
        <v>390</v>
      </c>
      <c r="E275">
        <v>1360</v>
      </c>
      <c r="F275">
        <v>549</v>
      </c>
      <c r="G275">
        <v>131.71</v>
      </c>
      <c r="L275">
        <v>145</v>
      </c>
      <c r="M275">
        <v>850</v>
      </c>
      <c r="N275">
        <v>186</v>
      </c>
      <c r="O275">
        <v>155</v>
      </c>
      <c r="P275">
        <v>24</v>
      </c>
    </row>
    <row r="276" spans="1:16" x14ac:dyDescent="0.2">
      <c r="A276" t="s">
        <v>341</v>
      </c>
      <c r="B276" t="s">
        <v>347</v>
      </c>
      <c r="C276" t="s">
        <v>557</v>
      </c>
      <c r="D276" t="s">
        <v>390</v>
      </c>
      <c r="E276">
        <v>53</v>
      </c>
      <c r="F276">
        <v>15</v>
      </c>
      <c r="G276">
        <v>86.62</v>
      </c>
      <c r="L276">
        <v>30</v>
      </c>
      <c r="M276">
        <v>12</v>
      </c>
      <c r="O276">
        <v>9</v>
      </c>
      <c r="P276">
        <v>2</v>
      </c>
    </row>
    <row r="277" spans="1:16" x14ac:dyDescent="0.2">
      <c r="A277" t="s">
        <v>341</v>
      </c>
      <c r="B277" t="s">
        <v>348</v>
      </c>
      <c r="C277" t="s">
        <v>557</v>
      </c>
      <c r="D277" t="s">
        <v>390</v>
      </c>
      <c r="E277">
        <v>10</v>
      </c>
      <c r="F277">
        <v>1</v>
      </c>
      <c r="G277">
        <v>100.5</v>
      </c>
      <c r="M277">
        <v>9</v>
      </c>
      <c r="N277">
        <v>1</v>
      </c>
    </row>
    <row r="278" spans="1:16" x14ac:dyDescent="0.2">
      <c r="A278" t="s">
        <v>341</v>
      </c>
      <c r="B278" t="s">
        <v>417</v>
      </c>
      <c r="C278" t="s">
        <v>558</v>
      </c>
      <c r="D278" t="s">
        <v>390</v>
      </c>
      <c r="E278">
        <v>208</v>
      </c>
      <c r="F278">
        <v>55</v>
      </c>
      <c r="G278">
        <v>113.49</v>
      </c>
      <c r="L278">
        <v>35</v>
      </c>
      <c r="M278">
        <v>147</v>
      </c>
      <c r="N278">
        <v>23</v>
      </c>
      <c r="O278">
        <v>2</v>
      </c>
      <c r="P278">
        <v>1</v>
      </c>
    </row>
    <row r="279" spans="1:16" x14ac:dyDescent="0.2">
      <c r="A279" t="s">
        <v>341</v>
      </c>
      <c r="B279" t="s">
        <v>346</v>
      </c>
      <c r="C279" t="s">
        <v>558</v>
      </c>
      <c r="D279" t="s">
        <v>390</v>
      </c>
      <c r="E279">
        <v>208</v>
      </c>
      <c r="F279">
        <v>55</v>
      </c>
      <c r="G279">
        <v>113.49</v>
      </c>
      <c r="L279">
        <v>35</v>
      </c>
      <c r="M279">
        <v>147</v>
      </c>
      <c r="N279">
        <v>23</v>
      </c>
      <c r="O279">
        <v>2</v>
      </c>
      <c r="P279">
        <v>1</v>
      </c>
    </row>
    <row r="280" spans="1:16" x14ac:dyDescent="0.2">
      <c r="A280" t="s">
        <v>341</v>
      </c>
      <c r="B280" t="s">
        <v>417</v>
      </c>
      <c r="C280" t="s">
        <v>559</v>
      </c>
      <c r="D280" t="s">
        <v>390</v>
      </c>
      <c r="E280">
        <v>3288</v>
      </c>
      <c r="F280">
        <v>760</v>
      </c>
      <c r="G280">
        <v>95.98</v>
      </c>
      <c r="L280">
        <v>115</v>
      </c>
      <c r="M280">
        <v>2312</v>
      </c>
      <c r="N280">
        <v>804</v>
      </c>
      <c r="O280">
        <v>57</v>
      </c>
    </row>
    <row r="281" spans="1:16" x14ac:dyDescent="0.2">
      <c r="A281" t="s">
        <v>341</v>
      </c>
      <c r="B281" t="s">
        <v>346</v>
      </c>
      <c r="C281" t="s">
        <v>559</v>
      </c>
      <c r="D281" t="s">
        <v>390</v>
      </c>
      <c r="E281">
        <v>3022</v>
      </c>
      <c r="F281">
        <v>727</v>
      </c>
      <c r="G281">
        <v>97.48</v>
      </c>
      <c r="L281">
        <v>34</v>
      </c>
      <c r="M281">
        <v>2177</v>
      </c>
      <c r="N281">
        <v>803</v>
      </c>
      <c r="O281">
        <v>8</v>
      </c>
    </row>
    <row r="282" spans="1:16" x14ac:dyDescent="0.2">
      <c r="A282" t="s">
        <v>341</v>
      </c>
      <c r="B282" t="s">
        <v>347</v>
      </c>
      <c r="C282" t="s">
        <v>559</v>
      </c>
      <c r="D282" t="s">
        <v>390</v>
      </c>
      <c r="E282">
        <v>262</v>
      </c>
      <c r="F282">
        <v>31</v>
      </c>
      <c r="G282">
        <v>77.73</v>
      </c>
      <c r="L282">
        <v>81</v>
      </c>
      <c r="M282">
        <v>131</v>
      </c>
      <c r="N282">
        <v>1</v>
      </c>
      <c r="O282">
        <v>49</v>
      </c>
    </row>
    <row r="283" spans="1:16" x14ac:dyDescent="0.2">
      <c r="A283" t="s">
        <v>341</v>
      </c>
      <c r="B283" t="s">
        <v>348</v>
      </c>
      <c r="C283" t="s">
        <v>559</v>
      </c>
      <c r="D283" t="s">
        <v>390</v>
      </c>
      <c r="E283">
        <v>4</v>
      </c>
      <c r="F283">
        <v>2</v>
      </c>
      <c r="G283">
        <v>162.5</v>
      </c>
      <c r="M283">
        <v>4</v>
      </c>
    </row>
    <row r="284" spans="1:16" x14ac:dyDescent="0.2">
      <c r="A284" t="s">
        <v>341</v>
      </c>
      <c r="B284" t="s">
        <v>417</v>
      </c>
      <c r="C284" t="s">
        <v>560</v>
      </c>
      <c r="D284" t="s">
        <v>390</v>
      </c>
      <c r="E284">
        <v>247</v>
      </c>
      <c r="F284">
        <v>91</v>
      </c>
      <c r="G284">
        <v>115.9</v>
      </c>
      <c r="L284">
        <v>44</v>
      </c>
      <c r="M284">
        <v>98</v>
      </c>
      <c r="N284">
        <v>49</v>
      </c>
      <c r="O284">
        <v>47</v>
      </c>
      <c r="P284">
        <v>9</v>
      </c>
    </row>
    <row r="285" spans="1:16" x14ac:dyDescent="0.2">
      <c r="A285" t="s">
        <v>341</v>
      </c>
      <c r="B285" t="s">
        <v>346</v>
      </c>
      <c r="C285" t="s">
        <v>560</v>
      </c>
      <c r="D285" t="s">
        <v>390</v>
      </c>
      <c r="E285">
        <v>213</v>
      </c>
      <c r="F285">
        <v>76</v>
      </c>
      <c r="G285">
        <v>115.71</v>
      </c>
      <c r="L285">
        <v>33</v>
      </c>
      <c r="M285">
        <v>86</v>
      </c>
      <c r="N285">
        <v>49</v>
      </c>
      <c r="O285">
        <v>40</v>
      </c>
      <c r="P285">
        <v>5</v>
      </c>
    </row>
    <row r="286" spans="1:16" x14ac:dyDescent="0.2">
      <c r="A286" t="s">
        <v>341</v>
      </c>
      <c r="B286" t="s">
        <v>347</v>
      </c>
      <c r="C286" t="s">
        <v>560</v>
      </c>
      <c r="D286" t="s">
        <v>390</v>
      </c>
      <c r="E286">
        <v>32</v>
      </c>
      <c r="F286">
        <v>14</v>
      </c>
      <c r="G286">
        <v>112.94</v>
      </c>
      <c r="L286">
        <v>11</v>
      </c>
      <c r="M286">
        <v>11</v>
      </c>
      <c r="O286">
        <v>7</v>
      </c>
      <c r="P286">
        <v>3</v>
      </c>
    </row>
    <row r="287" spans="1:16" x14ac:dyDescent="0.2">
      <c r="A287" t="s">
        <v>341</v>
      </c>
      <c r="B287" t="s">
        <v>348</v>
      </c>
      <c r="C287" t="s">
        <v>560</v>
      </c>
      <c r="D287" t="s">
        <v>390</v>
      </c>
      <c r="E287">
        <v>2</v>
      </c>
      <c r="F287">
        <v>1</v>
      </c>
      <c r="G287">
        <v>183.5</v>
      </c>
      <c r="M287">
        <v>1</v>
      </c>
      <c r="P287">
        <v>1</v>
      </c>
    </row>
    <row r="288" spans="1:16" x14ac:dyDescent="0.2">
      <c r="A288" t="s">
        <v>341</v>
      </c>
      <c r="B288" t="s">
        <v>417</v>
      </c>
      <c r="C288" t="s">
        <v>561</v>
      </c>
      <c r="D288" t="s">
        <v>390</v>
      </c>
      <c r="E288">
        <v>99</v>
      </c>
      <c r="F288">
        <v>1</v>
      </c>
      <c r="G288">
        <v>56.34</v>
      </c>
      <c r="L288">
        <v>16</v>
      </c>
      <c r="M288">
        <v>74</v>
      </c>
      <c r="N288">
        <v>9</v>
      </c>
    </row>
    <row r="289" spans="1:16" x14ac:dyDescent="0.2">
      <c r="A289" t="s">
        <v>341</v>
      </c>
      <c r="B289" t="s">
        <v>346</v>
      </c>
      <c r="C289" t="s">
        <v>561</v>
      </c>
      <c r="D289" t="s">
        <v>390</v>
      </c>
      <c r="E289">
        <v>99</v>
      </c>
      <c r="F289">
        <v>1</v>
      </c>
      <c r="G289">
        <v>56.34</v>
      </c>
      <c r="L289">
        <v>16</v>
      </c>
      <c r="M289">
        <v>74</v>
      </c>
      <c r="N289">
        <v>9</v>
      </c>
    </row>
    <row r="290" spans="1:16" x14ac:dyDescent="0.2">
      <c r="A290" t="s">
        <v>341</v>
      </c>
      <c r="B290" t="s">
        <v>417</v>
      </c>
      <c r="C290" t="s">
        <v>562</v>
      </c>
      <c r="D290" t="s">
        <v>390</v>
      </c>
      <c r="E290">
        <v>943</v>
      </c>
      <c r="F290">
        <v>109</v>
      </c>
      <c r="G290">
        <v>75.52</v>
      </c>
      <c r="L290">
        <v>31</v>
      </c>
      <c r="M290">
        <v>561</v>
      </c>
      <c r="N290">
        <v>325</v>
      </c>
      <c r="O290">
        <v>26</v>
      </c>
    </row>
    <row r="291" spans="1:16" x14ac:dyDescent="0.2">
      <c r="A291" t="s">
        <v>341</v>
      </c>
      <c r="B291" t="s">
        <v>346</v>
      </c>
      <c r="C291" t="s">
        <v>562</v>
      </c>
      <c r="D291" t="s">
        <v>390</v>
      </c>
      <c r="E291">
        <v>852</v>
      </c>
      <c r="F291">
        <v>94</v>
      </c>
      <c r="G291">
        <v>73.510000000000005</v>
      </c>
      <c r="L291">
        <v>8</v>
      </c>
      <c r="M291">
        <v>516</v>
      </c>
      <c r="N291">
        <v>323</v>
      </c>
      <c r="O291">
        <v>5</v>
      </c>
    </row>
    <row r="292" spans="1:16" x14ac:dyDescent="0.2">
      <c r="A292" t="s">
        <v>341</v>
      </c>
      <c r="B292" t="s">
        <v>347</v>
      </c>
      <c r="C292" t="s">
        <v>562</v>
      </c>
      <c r="D292" t="s">
        <v>390</v>
      </c>
      <c r="E292">
        <v>90</v>
      </c>
      <c r="F292">
        <v>15</v>
      </c>
      <c r="G292">
        <v>94.82</v>
      </c>
      <c r="L292">
        <v>23</v>
      </c>
      <c r="M292">
        <v>45</v>
      </c>
      <c r="N292">
        <v>1</v>
      </c>
      <c r="O292">
        <v>21</v>
      </c>
    </row>
    <row r="293" spans="1:16" x14ac:dyDescent="0.2">
      <c r="A293" t="s">
        <v>341</v>
      </c>
      <c r="B293" t="s">
        <v>348</v>
      </c>
      <c r="C293" t="s">
        <v>562</v>
      </c>
      <c r="D293" t="s">
        <v>390</v>
      </c>
      <c r="E293">
        <v>1</v>
      </c>
      <c r="G293">
        <v>53</v>
      </c>
      <c r="N293">
        <v>1</v>
      </c>
    </row>
    <row r="294" spans="1:16" x14ac:dyDescent="0.2">
      <c r="A294" t="s">
        <v>341</v>
      </c>
      <c r="B294" t="s">
        <v>417</v>
      </c>
      <c r="C294" t="s">
        <v>563</v>
      </c>
      <c r="D294" t="s">
        <v>390</v>
      </c>
      <c r="E294">
        <v>4782</v>
      </c>
      <c r="F294">
        <v>1647</v>
      </c>
      <c r="G294">
        <v>115.98</v>
      </c>
      <c r="L294">
        <v>586</v>
      </c>
      <c r="M294">
        <v>2679</v>
      </c>
      <c r="N294">
        <v>710</v>
      </c>
      <c r="O294">
        <v>666</v>
      </c>
      <c r="P294">
        <v>141</v>
      </c>
    </row>
    <row r="295" spans="1:16" x14ac:dyDescent="0.2">
      <c r="A295" t="s">
        <v>341</v>
      </c>
      <c r="B295" t="s">
        <v>346</v>
      </c>
      <c r="C295" t="s">
        <v>563</v>
      </c>
      <c r="D295" t="s">
        <v>390</v>
      </c>
      <c r="E295">
        <v>4553</v>
      </c>
      <c r="F295">
        <v>1548</v>
      </c>
      <c r="G295">
        <v>115.99</v>
      </c>
      <c r="L295">
        <v>514</v>
      </c>
      <c r="M295">
        <v>2613</v>
      </c>
      <c r="N295">
        <v>703</v>
      </c>
      <c r="O295">
        <v>598</v>
      </c>
      <c r="P295">
        <v>125</v>
      </c>
    </row>
    <row r="296" spans="1:16" x14ac:dyDescent="0.2">
      <c r="A296" t="s">
        <v>341</v>
      </c>
      <c r="B296" t="s">
        <v>347</v>
      </c>
      <c r="C296" t="s">
        <v>563</v>
      </c>
      <c r="D296" t="s">
        <v>390</v>
      </c>
      <c r="E296">
        <v>223</v>
      </c>
      <c r="F296">
        <v>96</v>
      </c>
      <c r="G296">
        <v>116.31</v>
      </c>
      <c r="L296">
        <v>70</v>
      </c>
      <c r="M296">
        <v>63</v>
      </c>
      <c r="N296">
        <v>6</v>
      </c>
      <c r="O296">
        <v>68</v>
      </c>
      <c r="P296">
        <v>16</v>
      </c>
    </row>
    <row r="297" spans="1:16" x14ac:dyDescent="0.2">
      <c r="A297" t="s">
        <v>341</v>
      </c>
      <c r="B297" t="s">
        <v>348</v>
      </c>
      <c r="C297" t="s">
        <v>563</v>
      </c>
      <c r="D297" t="s">
        <v>390</v>
      </c>
      <c r="E297">
        <v>6</v>
      </c>
      <c r="F297">
        <v>3</v>
      </c>
      <c r="G297">
        <v>103.17</v>
      </c>
      <c r="L297">
        <v>2</v>
      </c>
      <c r="M297">
        <v>3</v>
      </c>
      <c r="N297">
        <v>1</v>
      </c>
    </row>
    <row r="298" spans="1:16" x14ac:dyDescent="0.2">
      <c r="A298" t="s">
        <v>341</v>
      </c>
      <c r="B298" t="s">
        <v>417</v>
      </c>
      <c r="C298" t="s">
        <v>564</v>
      </c>
      <c r="D298" t="s">
        <v>390</v>
      </c>
      <c r="E298">
        <v>1391</v>
      </c>
      <c r="F298">
        <v>272</v>
      </c>
      <c r="G298">
        <v>94.27</v>
      </c>
      <c r="L298">
        <v>300</v>
      </c>
      <c r="M298">
        <v>791</v>
      </c>
      <c r="N298">
        <v>144</v>
      </c>
      <c r="O298">
        <v>112</v>
      </c>
      <c r="P298">
        <v>44</v>
      </c>
    </row>
    <row r="299" spans="1:16" x14ac:dyDescent="0.2">
      <c r="A299" t="s">
        <v>341</v>
      </c>
      <c r="B299" t="s">
        <v>346</v>
      </c>
      <c r="C299" t="s">
        <v>564</v>
      </c>
      <c r="D299" t="s">
        <v>390</v>
      </c>
      <c r="E299">
        <v>1389</v>
      </c>
      <c r="F299">
        <v>271</v>
      </c>
      <c r="G299">
        <v>94.28</v>
      </c>
      <c r="L299">
        <v>300</v>
      </c>
      <c r="M299">
        <v>789</v>
      </c>
      <c r="N299">
        <v>144</v>
      </c>
      <c r="O299">
        <v>112</v>
      </c>
      <c r="P299">
        <v>44</v>
      </c>
    </row>
    <row r="300" spans="1:16" x14ac:dyDescent="0.2">
      <c r="A300" t="s">
        <v>341</v>
      </c>
      <c r="B300" t="s">
        <v>348</v>
      </c>
      <c r="C300" t="s">
        <v>564</v>
      </c>
      <c r="D300" t="s">
        <v>390</v>
      </c>
      <c r="E300">
        <v>2</v>
      </c>
      <c r="F300">
        <v>1</v>
      </c>
      <c r="G300">
        <v>85</v>
      </c>
      <c r="M300">
        <v>2</v>
      </c>
    </row>
    <row r="301" spans="1:16" x14ac:dyDescent="0.2">
      <c r="A301" t="s">
        <v>341</v>
      </c>
      <c r="B301" t="s">
        <v>417</v>
      </c>
      <c r="C301" t="s">
        <v>565</v>
      </c>
      <c r="D301" t="s">
        <v>390</v>
      </c>
      <c r="E301">
        <v>11621</v>
      </c>
      <c r="F301">
        <v>2153</v>
      </c>
      <c r="G301">
        <v>87.44</v>
      </c>
      <c r="L301">
        <v>308</v>
      </c>
      <c r="M301">
        <v>7666</v>
      </c>
      <c r="N301">
        <v>3430</v>
      </c>
      <c r="O301">
        <v>217</v>
      </c>
    </row>
    <row r="302" spans="1:16" x14ac:dyDescent="0.2">
      <c r="A302" t="s">
        <v>341</v>
      </c>
      <c r="B302" t="s">
        <v>346</v>
      </c>
      <c r="C302" t="s">
        <v>565</v>
      </c>
      <c r="D302" t="s">
        <v>390</v>
      </c>
      <c r="E302">
        <v>10770</v>
      </c>
      <c r="F302">
        <v>1995</v>
      </c>
      <c r="G302">
        <v>87.46</v>
      </c>
      <c r="L302">
        <v>80</v>
      </c>
      <c r="M302">
        <v>7239</v>
      </c>
      <c r="N302">
        <v>3424</v>
      </c>
      <c r="O302">
        <v>27</v>
      </c>
    </row>
    <row r="303" spans="1:16" x14ac:dyDescent="0.2">
      <c r="A303" t="s">
        <v>341</v>
      </c>
      <c r="B303" t="s">
        <v>347</v>
      </c>
      <c r="C303" t="s">
        <v>565</v>
      </c>
      <c r="D303" t="s">
        <v>390</v>
      </c>
      <c r="E303">
        <v>834</v>
      </c>
      <c r="F303">
        <v>154</v>
      </c>
      <c r="G303">
        <v>86.65</v>
      </c>
      <c r="L303">
        <v>228</v>
      </c>
      <c r="M303">
        <v>414</v>
      </c>
      <c r="N303">
        <v>2</v>
      </c>
      <c r="O303">
        <v>190</v>
      </c>
    </row>
    <row r="304" spans="1:16" x14ac:dyDescent="0.2">
      <c r="A304" t="s">
        <v>341</v>
      </c>
      <c r="B304" t="s">
        <v>348</v>
      </c>
      <c r="C304" t="s">
        <v>565</v>
      </c>
      <c r="D304" t="s">
        <v>390</v>
      </c>
      <c r="E304">
        <v>17</v>
      </c>
      <c r="F304">
        <v>4</v>
      </c>
      <c r="G304">
        <v>116.12</v>
      </c>
      <c r="M304">
        <v>13</v>
      </c>
      <c r="N304">
        <v>4</v>
      </c>
    </row>
    <row r="305" spans="1:16" x14ac:dyDescent="0.2">
      <c r="A305" t="s">
        <v>341</v>
      </c>
      <c r="B305" t="s">
        <v>417</v>
      </c>
      <c r="C305" t="s">
        <v>566</v>
      </c>
      <c r="D305" t="s">
        <v>390</v>
      </c>
      <c r="E305">
        <v>160</v>
      </c>
      <c r="F305">
        <v>66</v>
      </c>
      <c r="G305">
        <v>118.52</v>
      </c>
      <c r="L305">
        <v>15</v>
      </c>
      <c r="M305">
        <v>83</v>
      </c>
      <c r="N305">
        <v>21</v>
      </c>
      <c r="O305">
        <v>34</v>
      </c>
      <c r="P305">
        <v>7</v>
      </c>
    </row>
    <row r="306" spans="1:16" x14ac:dyDescent="0.2">
      <c r="A306" t="s">
        <v>341</v>
      </c>
      <c r="B306" t="s">
        <v>346</v>
      </c>
      <c r="C306" t="s">
        <v>566</v>
      </c>
      <c r="D306" t="s">
        <v>390</v>
      </c>
      <c r="E306">
        <v>147</v>
      </c>
      <c r="F306">
        <v>60</v>
      </c>
      <c r="G306">
        <v>117.97</v>
      </c>
      <c r="L306">
        <v>13</v>
      </c>
      <c r="M306">
        <v>77</v>
      </c>
      <c r="N306">
        <v>21</v>
      </c>
      <c r="O306">
        <v>30</v>
      </c>
      <c r="P306">
        <v>6</v>
      </c>
    </row>
    <row r="307" spans="1:16" x14ac:dyDescent="0.2">
      <c r="A307" t="s">
        <v>341</v>
      </c>
      <c r="B307" t="s">
        <v>347</v>
      </c>
      <c r="C307" t="s">
        <v>566</v>
      </c>
      <c r="D307" t="s">
        <v>390</v>
      </c>
      <c r="E307">
        <v>13</v>
      </c>
      <c r="F307">
        <v>6</v>
      </c>
      <c r="G307">
        <v>124.69</v>
      </c>
      <c r="L307">
        <v>2</v>
      </c>
      <c r="M307">
        <v>6</v>
      </c>
      <c r="O307">
        <v>4</v>
      </c>
      <c r="P307">
        <v>1</v>
      </c>
    </row>
    <row r="308" spans="1:16" x14ac:dyDescent="0.2">
      <c r="A308" t="s">
        <v>341</v>
      </c>
      <c r="B308" t="s">
        <v>417</v>
      </c>
      <c r="C308" t="s">
        <v>567</v>
      </c>
      <c r="D308" t="s">
        <v>390</v>
      </c>
      <c r="E308">
        <v>95</v>
      </c>
      <c r="F308">
        <v>5</v>
      </c>
      <c r="G308">
        <v>78.73</v>
      </c>
      <c r="L308">
        <v>7</v>
      </c>
      <c r="M308">
        <v>80</v>
      </c>
      <c r="N308">
        <v>6</v>
      </c>
      <c r="O308">
        <v>2</v>
      </c>
    </row>
    <row r="309" spans="1:16" x14ac:dyDescent="0.2">
      <c r="A309" t="s">
        <v>341</v>
      </c>
      <c r="B309" t="s">
        <v>346</v>
      </c>
      <c r="C309" t="s">
        <v>567</v>
      </c>
      <c r="D309" t="s">
        <v>390</v>
      </c>
      <c r="E309">
        <v>95</v>
      </c>
      <c r="F309">
        <v>5</v>
      </c>
      <c r="G309">
        <v>78.73</v>
      </c>
      <c r="L309">
        <v>7</v>
      </c>
      <c r="M309">
        <v>80</v>
      </c>
      <c r="N309">
        <v>6</v>
      </c>
      <c r="O309">
        <v>2</v>
      </c>
    </row>
    <row r="310" spans="1:16" x14ac:dyDescent="0.2">
      <c r="A310" t="s">
        <v>341</v>
      </c>
      <c r="B310" t="s">
        <v>417</v>
      </c>
      <c r="C310" t="s">
        <v>568</v>
      </c>
      <c r="D310" t="s">
        <v>390</v>
      </c>
      <c r="E310">
        <v>527</v>
      </c>
      <c r="F310">
        <v>93</v>
      </c>
      <c r="G310">
        <v>85.94</v>
      </c>
      <c r="L310">
        <v>8</v>
      </c>
      <c r="M310">
        <v>381</v>
      </c>
      <c r="N310">
        <v>130</v>
      </c>
      <c r="O310">
        <v>8</v>
      </c>
    </row>
    <row r="311" spans="1:16" x14ac:dyDescent="0.2">
      <c r="A311" t="s">
        <v>341</v>
      </c>
      <c r="B311" t="s">
        <v>346</v>
      </c>
      <c r="C311" t="s">
        <v>568</v>
      </c>
      <c r="D311" t="s">
        <v>390</v>
      </c>
      <c r="E311">
        <v>499</v>
      </c>
      <c r="F311">
        <v>86</v>
      </c>
      <c r="G311">
        <v>85.65</v>
      </c>
      <c r="L311">
        <v>2</v>
      </c>
      <c r="M311">
        <v>366</v>
      </c>
      <c r="N311">
        <v>130</v>
      </c>
      <c r="O311">
        <v>1</v>
      </c>
    </row>
    <row r="312" spans="1:16" x14ac:dyDescent="0.2">
      <c r="A312" t="s">
        <v>341</v>
      </c>
      <c r="B312" t="s">
        <v>347</v>
      </c>
      <c r="C312" t="s">
        <v>568</v>
      </c>
      <c r="D312" t="s">
        <v>390</v>
      </c>
      <c r="E312">
        <v>28</v>
      </c>
      <c r="F312">
        <v>7</v>
      </c>
      <c r="G312">
        <v>91.11</v>
      </c>
      <c r="L312">
        <v>6</v>
      </c>
      <c r="M312">
        <v>15</v>
      </c>
      <c r="O312">
        <v>7</v>
      </c>
    </row>
    <row r="313" spans="1:16" x14ac:dyDescent="0.2">
      <c r="A313" t="s">
        <v>341</v>
      </c>
      <c r="B313" t="s">
        <v>417</v>
      </c>
      <c r="C313" t="s">
        <v>569</v>
      </c>
      <c r="D313" t="s">
        <v>390</v>
      </c>
      <c r="E313">
        <v>478</v>
      </c>
      <c r="F313">
        <v>173</v>
      </c>
      <c r="G313">
        <v>128.38</v>
      </c>
      <c r="L313">
        <v>33</v>
      </c>
      <c r="M313">
        <v>290</v>
      </c>
      <c r="N313">
        <v>71</v>
      </c>
      <c r="O313">
        <v>75</v>
      </c>
      <c r="P313">
        <v>9</v>
      </c>
    </row>
    <row r="314" spans="1:16" x14ac:dyDescent="0.2">
      <c r="A314" t="s">
        <v>341</v>
      </c>
      <c r="B314" t="s">
        <v>346</v>
      </c>
      <c r="C314" t="s">
        <v>569</v>
      </c>
      <c r="D314" t="s">
        <v>390</v>
      </c>
      <c r="E314">
        <v>450</v>
      </c>
      <c r="F314">
        <v>162</v>
      </c>
      <c r="G314">
        <v>128.59</v>
      </c>
      <c r="L314">
        <v>26</v>
      </c>
      <c r="M314">
        <v>282</v>
      </c>
      <c r="N314">
        <v>71</v>
      </c>
      <c r="O314">
        <v>62</v>
      </c>
      <c r="P314">
        <v>9</v>
      </c>
    </row>
    <row r="315" spans="1:16" x14ac:dyDescent="0.2">
      <c r="A315" t="s">
        <v>341</v>
      </c>
      <c r="B315" t="s">
        <v>347</v>
      </c>
      <c r="C315" t="s">
        <v>569</v>
      </c>
      <c r="D315" t="s">
        <v>390</v>
      </c>
      <c r="E315">
        <v>28</v>
      </c>
      <c r="F315">
        <v>11</v>
      </c>
      <c r="G315">
        <v>125</v>
      </c>
      <c r="L315">
        <v>7</v>
      </c>
      <c r="M315">
        <v>8</v>
      </c>
      <c r="O315">
        <v>13</v>
      </c>
    </row>
    <row r="316" spans="1:16" x14ac:dyDescent="0.2">
      <c r="A316" t="s">
        <v>341</v>
      </c>
      <c r="B316" t="s">
        <v>417</v>
      </c>
      <c r="C316" t="s">
        <v>570</v>
      </c>
      <c r="D316" t="s">
        <v>390</v>
      </c>
      <c r="E316">
        <v>128</v>
      </c>
      <c r="F316">
        <v>7</v>
      </c>
      <c r="G316">
        <v>55.17</v>
      </c>
      <c r="L316">
        <v>43</v>
      </c>
      <c r="M316">
        <v>73</v>
      </c>
      <c r="N316">
        <v>9</v>
      </c>
      <c r="O316">
        <v>2</v>
      </c>
      <c r="P316">
        <v>1</v>
      </c>
    </row>
    <row r="317" spans="1:16" x14ac:dyDescent="0.2">
      <c r="A317" t="s">
        <v>341</v>
      </c>
      <c r="B317" t="s">
        <v>346</v>
      </c>
      <c r="C317" t="s">
        <v>570</v>
      </c>
      <c r="D317" t="s">
        <v>390</v>
      </c>
      <c r="E317">
        <v>128</v>
      </c>
      <c r="F317">
        <v>7</v>
      </c>
      <c r="G317">
        <v>55.17</v>
      </c>
      <c r="L317">
        <v>43</v>
      </c>
      <c r="M317">
        <v>73</v>
      </c>
      <c r="N317">
        <v>9</v>
      </c>
      <c r="O317">
        <v>2</v>
      </c>
      <c r="P317">
        <v>1</v>
      </c>
    </row>
    <row r="318" spans="1:16" x14ac:dyDescent="0.2">
      <c r="A318" t="s">
        <v>341</v>
      </c>
      <c r="B318" t="s">
        <v>417</v>
      </c>
      <c r="C318" t="s">
        <v>571</v>
      </c>
      <c r="D318" t="s">
        <v>390</v>
      </c>
      <c r="E318">
        <v>1357</v>
      </c>
      <c r="F318">
        <v>202</v>
      </c>
      <c r="G318">
        <v>82.05</v>
      </c>
      <c r="L318">
        <v>43</v>
      </c>
      <c r="M318">
        <v>900</v>
      </c>
      <c r="N318">
        <v>395</v>
      </c>
      <c r="O318">
        <v>19</v>
      </c>
    </row>
    <row r="319" spans="1:16" x14ac:dyDescent="0.2">
      <c r="A319" t="s">
        <v>341</v>
      </c>
      <c r="B319" t="s">
        <v>346</v>
      </c>
      <c r="C319" t="s">
        <v>571</v>
      </c>
      <c r="D319" t="s">
        <v>390</v>
      </c>
      <c r="E319">
        <v>1268</v>
      </c>
      <c r="F319">
        <v>190</v>
      </c>
      <c r="G319">
        <v>82.21</v>
      </c>
      <c r="L319">
        <v>13</v>
      </c>
      <c r="M319">
        <v>860</v>
      </c>
      <c r="N319">
        <v>394</v>
      </c>
      <c r="O319">
        <v>1</v>
      </c>
    </row>
    <row r="320" spans="1:16" x14ac:dyDescent="0.2">
      <c r="A320" t="s">
        <v>341</v>
      </c>
      <c r="B320" t="s">
        <v>347</v>
      </c>
      <c r="C320" t="s">
        <v>571</v>
      </c>
      <c r="D320" t="s">
        <v>390</v>
      </c>
      <c r="E320">
        <v>87</v>
      </c>
      <c r="F320">
        <v>12</v>
      </c>
      <c r="G320">
        <v>80.849999999999994</v>
      </c>
      <c r="L320">
        <v>30</v>
      </c>
      <c r="M320">
        <v>38</v>
      </c>
      <c r="N320">
        <v>1</v>
      </c>
      <c r="O320">
        <v>18</v>
      </c>
    </row>
    <row r="321" spans="1:16" x14ac:dyDescent="0.2">
      <c r="A321" t="s">
        <v>341</v>
      </c>
      <c r="B321" t="s">
        <v>348</v>
      </c>
      <c r="C321" t="s">
        <v>571</v>
      </c>
      <c r="D321" t="s">
        <v>390</v>
      </c>
      <c r="E321">
        <v>2</v>
      </c>
      <c r="G321">
        <v>31.5</v>
      </c>
      <c r="M321">
        <v>2</v>
      </c>
    </row>
    <row r="322" spans="1:16" x14ac:dyDescent="0.2">
      <c r="A322" t="s">
        <v>341</v>
      </c>
      <c r="B322" t="s">
        <v>417</v>
      </c>
      <c r="C322" t="s">
        <v>572</v>
      </c>
      <c r="D322" t="s">
        <v>390</v>
      </c>
      <c r="E322">
        <v>252</v>
      </c>
      <c r="F322">
        <v>98</v>
      </c>
      <c r="G322">
        <v>113.29</v>
      </c>
      <c r="L322">
        <v>47</v>
      </c>
      <c r="M322">
        <v>110</v>
      </c>
      <c r="N322">
        <v>33</v>
      </c>
      <c r="O322">
        <v>47</v>
      </c>
      <c r="P322">
        <v>15</v>
      </c>
    </row>
    <row r="323" spans="1:16" x14ac:dyDescent="0.2">
      <c r="A323" t="s">
        <v>341</v>
      </c>
      <c r="B323" t="s">
        <v>346</v>
      </c>
      <c r="C323" t="s">
        <v>572</v>
      </c>
      <c r="D323" t="s">
        <v>390</v>
      </c>
      <c r="E323">
        <v>228</v>
      </c>
      <c r="F323">
        <v>87</v>
      </c>
      <c r="G323">
        <v>114.73</v>
      </c>
      <c r="L323">
        <v>38</v>
      </c>
      <c r="M323">
        <v>105</v>
      </c>
      <c r="N323">
        <v>32</v>
      </c>
      <c r="O323">
        <v>39</v>
      </c>
      <c r="P323">
        <v>14</v>
      </c>
    </row>
    <row r="324" spans="1:16" x14ac:dyDescent="0.2">
      <c r="A324" t="s">
        <v>341</v>
      </c>
      <c r="B324" t="s">
        <v>347</v>
      </c>
      <c r="C324" t="s">
        <v>572</v>
      </c>
      <c r="D324" t="s">
        <v>390</v>
      </c>
      <c r="E324">
        <v>24</v>
      </c>
      <c r="F324">
        <v>11</v>
      </c>
      <c r="G324">
        <v>99.63</v>
      </c>
      <c r="L324">
        <v>9</v>
      </c>
      <c r="M324">
        <v>5</v>
      </c>
      <c r="N324">
        <v>1</v>
      </c>
      <c r="O324">
        <v>8</v>
      </c>
      <c r="P324">
        <v>1</v>
      </c>
    </row>
    <row r="325" spans="1:16" x14ac:dyDescent="0.2">
      <c r="A325" t="s">
        <v>341</v>
      </c>
      <c r="B325" t="s">
        <v>417</v>
      </c>
      <c r="C325" t="s">
        <v>573</v>
      </c>
      <c r="D325" t="s">
        <v>390</v>
      </c>
      <c r="E325">
        <v>95</v>
      </c>
      <c r="F325">
        <v>5</v>
      </c>
      <c r="G325">
        <v>77.45</v>
      </c>
      <c r="L325">
        <v>9</v>
      </c>
      <c r="M325">
        <v>72</v>
      </c>
      <c r="N325">
        <v>13</v>
      </c>
      <c r="O325">
        <v>1</v>
      </c>
    </row>
    <row r="326" spans="1:16" x14ac:dyDescent="0.2">
      <c r="A326" t="s">
        <v>341</v>
      </c>
      <c r="B326" t="s">
        <v>346</v>
      </c>
      <c r="C326" t="s">
        <v>573</v>
      </c>
      <c r="D326" t="s">
        <v>390</v>
      </c>
      <c r="E326">
        <v>95</v>
      </c>
      <c r="F326">
        <v>5</v>
      </c>
      <c r="G326">
        <v>77.45</v>
      </c>
      <c r="L326">
        <v>9</v>
      </c>
      <c r="M326">
        <v>72</v>
      </c>
      <c r="N326">
        <v>13</v>
      </c>
      <c r="O326">
        <v>1</v>
      </c>
    </row>
    <row r="327" spans="1:16" x14ac:dyDescent="0.2">
      <c r="A327" t="s">
        <v>341</v>
      </c>
      <c r="B327" t="s">
        <v>417</v>
      </c>
      <c r="C327" t="s">
        <v>574</v>
      </c>
      <c r="D327" t="s">
        <v>390</v>
      </c>
      <c r="E327">
        <v>949</v>
      </c>
      <c r="F327">
        <v>178</v>
      </c>
      <c r="G327">
        <v>89.52</v>
      </c>
      <c r="L327">
        <v>23</v>
      </c>
      <c r="M327">
        <v>707</v>
      </c>
      <c r="N327">
        <v>208</v>
      </c>
      <c r="O327">
        <v>11</v>
      </c>
    </row>
    <row r="328" spans="1:16" x14ac:dyDescent="0.2">
      <c r="A328" t="s">
        <v>341</v>
      </c>
      <c r="B328" t="s">
        <v>346</v>
      </c>
      <c r="C328" t="s">
        <v>574</v>
      </c>
      <c r="D328" t="s">
        <v>390</v>
      </c>
      <c r="E328">
        <v>880</v>
      </c>
      <c r="F328">
        <v>161</v>
      </c>
      <c r="G328">
        <v>89.05</v>
      </c>
      <c r="L328">
        <v>7</v>
      </c>
      <c r="M328">
        <v>662</v>
      </c>
      <c r="N328">
        <v>208</v>
      </c>
      <c r="O328">
        <v>3</v>
      </c>
    </row>
    <row r="329" spans="1:16" x14ac:dyDescent="0.2">
      <c r="A329" t="s">
        <v>341</v>
      </c>
      <c r="B329" t="s">
        <v>347</v>
      </c>
      <c r="C329" t="s">
        <v>574</v>
      </c>
      <c r="D329" t="s">
        <v>390</v>
      </c>
      <c r="E329">
        <v>67</v>
      </c>
      <c r="F329">
        <v>17</v>
      </c>
      <c r="G329">
        <v>96.96</v>
      </c>
      <c r="L329">
        <v>16</v>
      </c>
      <c r="M329">
        <v>43</v>
      </c>
      <c r="O329">
        <v>8</v>
      </c>
    </row>
    <row r="330" spans="1:16" x14ac:dyDescent="0.2">
      <c r="A330" t="s">
        <v>341</v>
      </c>
      <c r="B330" t="s">
        <v>348</v>
      </c>
      <c r="C330" t="s">
        <v>574</v>
      </c>
      <c r="D330" t="s">
        <v>390</v>
      </c>
      <c r="E330">
        <v>2</v>
      </c>
      <c r="G330">
        <v>45.5</v>
      </c>
      <c r="M330">
        <v>2</v>
      </c>
    </row>
    <row r="331" spans="1:16" x14ac:dyDescent="0.2">
      <c r="A331" t="s">
        <v>341</v>
      </c>
      <c r="B331" t="s">
        <v>417</v>
      </c>
      <c r="C331" t="s">
        <v>575</v>
      </c>
      <c r="D331" t="s">
        <v>390</v>
      </c>
      <c r="E331">
        <v>1237</v>
      </c>
      <c r="F331">
        <v>447</v>
      </c>
      <c r="G331">
        <v>115.27</v>
      </c>
      <c r="L331">
        <v>166</v>
      </c>
      <c r="M331">
        <v>698</v>
      </c>
      <c r="N331">
        <v>155</v>
      </c>
      <c r="O331">
        <v>176</v>
      </c>
      <c r="P331">
        <v>42</v>
      </c>
    </row>
    <row r="332" spans="1:16" x14ac:dyDescent="0.2">
      <c r="A332" t="s">
        <v>341</v>
      </c>
      <c r="B332" t="s">
        <v>346</v>
      </c>
      <c r="C332" t="s">
        <v>575</v>
      </c>
      <c r="D332" t="s">
        <v>390</v>
      </c>
      <c r="E332">
        <v>1107</v>
      </c>
      <c r="F332">
        <v>384</v>
      </c>
      <c r="G332">
        <v>114.18</v>
      </c>
      <c r="L332">
        <v>135</v>
      </c>
      <c r="M332">
        <v>662</v>
      </c>
      <c r="N332">
        <v>154</v>
      </c>
      <c r="O332">
        <v>122</v>
      </c>
      <c r="P332">
        <v>34</v>
      </c>
    </row>
    <row r="333" spans="1:16" x14ac:dyDescent="0.2">
      <c r="A333" t="s">
        <v>341</v>
      </c>
      <c r="B333" t="s">
        <v>347</v>
      </c>
      <c r="C333" t="s">
        <v>575</v>
      </c>
      <c r="D333" t="s">
        <v>390</v>
      </c>
      <c r="E333">
        <v>127</v>
      </c>
      <c r="F333">
        <v>62</v>
      </c>
      <c r="G333">
        <v>124.01</v>
      </c>
      <c r="L333">
        <v>31</v>
      </c>
      <c r="M333">
        <v>34</v>
      </c>
      <c r="N333">
        <v>1</v>
      </c>
      <c r="O333">
        <v>54</v>
      </c>
      <c r="P333">
        <v>7</v>
      </c>
    </row>
    <row r="334" spans="1:16" x14ac:dyDescent="0.2">
      <c r="A334" t="s">
        <v>341</v>
      </c>
      <c r="B334" t="s">
        <v>348</v>
      </c>
      <c r="C334" t="s">
        <v>575</v>
      </c>
      <c r="D334" t="s">
        <v>390</v>
      </c>
      <c r="E334">
        <v>2</v>
      </c>
      <c r="F334">
        <v>1</v>
      </c>
      <c r="G334">
        <v>209.5</v>
      </c>
      <c r="M334">
        <v>1</v>
      </c>
      <c r="P334">
        <v>1</v>
      </c>
    </row>
    <row r="335" spans="1:16" x14ac:dyDescent="0.2">
      <c r="A335" t="s">
        <v>341</v>
      </c>
      <c r="B335" t="s">
        <v>349</v>
      </c>
      <c r="C335" t="s">
        <v>575</v>
      </c>
      <c r="D335" t="s">
        <v>390</v>
      </c>
      <c r="E335">
        <v>1</v>
      </c>
      <c r="G335">
        <v>34</v>
      </c>
      <c r="M335">
        <v>1</v>
      </c>
    </row>
    <row r="336" spans="1:16" x14ac:dyDescent="0.2">
      <c r="A336" t="s">
        <v>341</v>
      </c>
      <c r="B336" t="s">
        <v>417</v>
      </c>
      <c r="C336" t="s">
        <v>576</v>
      </c>
      <c r="D336" t="s">
        <v>390</v>
      </c>
      <c r="E336">
        <v>99</v>
      </c>
      <c r="F336">
        <v>11</v>
      </c>
      <c r="G336">
        <v>79.91</v>
      </c>
      <c r="L336">
        <v>16</v>
      </c>
      <c r="M336">
        <v>70</v>
      </c>
      <c r="N336">
        <v>8</v>
      </c>
      <c r="O336">
        <v>4</v>
      </c>
      <c r="P336">
        <v>1</v>
      </c>
    </row>
    <row r="337" spans="1:16" x14ac:dyDescent="0.2">
      <c r="A337" t="s">
        <v>341</v>
      </c>
      <c r="B337" t="s">
        <v>346</v>
      </c>
      <c r="C337" t="s">
        <v>576</v>
      </c>
      <c r="D337" t="s">
        <v>390</v>
      </c>
      <c r="E337">
        <v>99</v>
      </c>
      <c r="F337">
        <v>11</v>
      </c>
      <c r="G337">
        <v>79.91</v>
      </c>
      <c r="L337">
        <v>16</v>
      </c>
      <c r="M337">
        <v>70</v>
      </c>
      <c r="N337">
        <v>8</v>
      </c>
      <c r="O337">
        <v>4</v>
      </c>
      <c r="P337">
        <v>1</v>
      </c>
    </row>
    <row r="338" spans="1:16" x14ac:dyDescent="0.2">
      <c r="A338" t="s">
        <v>341</v>
      </c>
      <c r="B338" t="s">
        <v>417</v>
      </c>
      <c r="C338" t="s">
        <v>577</v>
      </c>
      <c r="D338" t="s">
        <v>390</v>
      </c>
      <c r="E338">
        <v>3437</v>
      </c>
      <c r="F338">
        <v>727</v>
      </c>
      <c r="G338">
        <v>94.11</v>
      </c>
      <c r="L338">
        <v>122</v>
      </c>
      <c r="M338">
        <v>2529</v>
      </c>
      <c r="N338">
        <v>687</v>
      </c>
      <c r="O338">
        <v>99</v>
      </c>
    </row>
    <row r="339" spans="1:16" x14ac:dyDescent="0.2">
      <c r="A339" t="s">
        <v>341</v>
      </c>
      <c r="B339" t="s">
        <v>346</v>
      </c>
      <c r="C339" t="s">
        <v>577</v>
      </c>
      <c r="D339" t="s">
        <v>390</v>
      </c>
      <c r="E339">
        <v>3032</v>
      </c>
      <c r="F339">
        <v>653</v>
      </c>
      <c r="G339">
        <v>94.94</v>
      </c>
      <c r="L339">
        <v>16</v>
      </c>
      <c r="M339">
        <v>2315</v>
      </c>
      <c r="N339">
        <v>686</v>
      </c>
      <c r="O339">
        <v>15</v>
      </c>
    </row>
    <row r="340" spans="1:16" x14ac:dyDescent="0.2">
      <c r="A340" t="s">
        <v>341</v>
      </c>
      <c r="B340" t="s">
        <v>347</v>
      </c>
      <c r="C340" t="s">
        <v>577</v>
      </c>
      <c r="D340" t="s">
        <v>390</v>
      </c>
      <c r="E340">
        <v>403</v>
      </c>
      <c r="F340">
        <v>73</v>
      </c>
      <c r="G340">
        <v>87.16</v>
      </c>
      <c r="L340">
        <v>106</v>
      </c>
      <c r="M340">
        <v>212</v>
      </c>
      <c r="N340">
        <v>1</v>
      </c>
      <c r="O340">
        <v>84</v>
      </c>
    </row>
    <row r="341" spans="1:16" x14ac:dyDescent="0.2">
      <c r="A341" t="s">
        <v>341</v>
      </c>
      <c r="B341" t="s">
        <v>348</v>
      </c>
      <c r="C341" t="s">
        <v>577</v>
      </c>
      <c r="D341" t="s">
        <v>390</v>
      </c>
      <c r="E341">
        <v>2</v>
      </c>
      <c r="F341">
        <v>1</v>
      </c>
      <c r="G341">
        <v>240.5</v>
      </c>
      <c r="M341">
        <v>2</v>
      </c>
    </row>
    <row r="342" spans="1:16" x14ac:dyDescent="0.2">
      <c r="A342" t="s">
        <v>341</v>
      </c>
      <c r="B342" t="s">
        <v>417</v>
      </c>
      <c r="C342" t="s">
        <v>578</v>
      </c>
      <c r="D342" t="s">
        <v>390</v>
      </c>
      <c r="E342">
        <v>603</v>
      </c>
      <c r="F342">
        <v>272</v>
      </c>
      <c r="G342">
        <v>127.98</v>
      </c>
      <c r="L342">
        <v>72</v>
      </c>
      <c r="M342">
        <v>342</v>
      </c>
      <c r="N342">
        <v>82</v>
      </c>
      <c r="O342">
        <v>78</v>
      </c>
      <c r="P342">
        <v>29</v>
      </c>
    </row>
    <row r="343" spans="1:16" x14ac:dyDescent="0.2">
      <c r="A343" t="s">
        <v>341</v>
      </c>
      <c r="B343" t="s">
        <v>346</v>
      </c>
      <c r="C343" t="s">
        <v>578</v>
      </c>
      <c r="D343" t="s">
        <v>390</v>
      </c>
      <c r="E343">
        <v>549</v>
      </c>
      <c r="F343">
        <v>250</v>
      </c>
      <c r="G343">
        <v>129.77000000000001</v>
      </c>
      <c r="L343">
        <v>57</v>
      </c>
      <c r="M343">
        <v>328</v>
      </c>
      <c r="N343">
        <v>82</v>
      </c>
      <c r="O343">
        <v>59</v>
      </c>
      <c r="P343">
        <v>23</v>
      </c>
    </row>
    <row r="344" spans="1:16" x14ac:dyDescent="0.2">
      <c r="A344" t="s">
        <v>341</v>
      </c>
      <c r="B344" t="s">
        <v>347</v>
      </c>
      <c r="C344" t="s">
        <v>578</v>
      </c>
      <c r="D344" t="s">
        <v>390</v>
      </c>
      <c r="E344">
        <v>53</v>
      </c>
      <c r="F344">
        <v>21</v>
      </c>
      <c r="G344">
        <v>106.62</v>
      </c>
      <c r="L344">
        <v>15</v>
      </c>
      <c r="M344">
        <v>14</v>
      </c>
      <c r="O344">
        <v>18</v>
      </c>
      <c r="P344">
        <v>6</v>
      </c>
    </row>
    <row r="345" spans="1:16" x14ac:dyDescent="0.2">
      <c r="A345" t="s">
        <v>341</v>
      </c>
      <c r="B345" t="s">
        <v>348</v>
      </c>
      <c r="C345" t="s">
        <v>578</v>
      </c>
      <c r="D345" t="s">
        <v>390</v>
      </c>
      <c r="E345">
        <v>1</v>
      </c>
      <c r="F345">
        <v>1</v>
      </c>
      <c r="G345">
        <v>277</v>
      </c>
      <c r="O345">
        <v>1</v>
      </c>
    </row>
    <row r="346" spans="1:16" x14ac:dyDescent="0.2">
      <c r="A346" t="s">
        <v>341</v>
      </c>
      <c r="B346" t="s">
        <v>417</v>
      </c>
      <c r="C346" t="s">
        <v>579</v>
      </c>
      <c r="D346" t="s">
        <v>390</v>
      </c>
      <c r="E346">
        <v>89</v>
      </c>
      <c r="F346">
        <v>12</v>
      </c>
      <c r="G346">
        <v>93.22</v>
      </c>
      <c r="L346">
        <v>7</v>
      </c>
      <c r="M346">
        <v>56</v>
      </c>
      <c r="N346">
        <v>5</v>
      </c>
      <c r="O346">
        <v>17</v>
      </c>
      <c r="P346">
        <v>4</v>
      </c>
    </row>
    <row r="347" spans="1:16" x14ac:dyDescent="0.2">
      <c r="A347" t="s">
        <v>341</v>
      </c>
      <c r="B347" t="s">
        <v>346</v>
      </c>
      <c r="C347" t="s">
        <v>579</v>
      </c>
      <c r="D347" t="s">
        <v>390</v>
      </c>
      <c r="E347">
        <v>89</v>
      </c>
      <c r="F347">
        <v>12</v>
      </c>
      <c r="G347">
        <v>93.22</v>
      </c>
      <c r="L347">
        <v>7</v>
      </c>
      <c r="M347">
        <v>56</v>
      </c>
      <c r="N347">
        <v>5</v>
      </c>
      <c r="O347">
        <v>17</v>
      </c>
      <c r="P347">
        <v>4</v>
      </c>
    </row>
    <row r="348" spans="1:16" x14ac:dyDescent="0.2">
      <c r="A348" t="s">
        <v>341</v>
      </c>
      <c r="B348" t="s">
        <v>417</v>
      </c>
      <c r="C348" t="s">
        <v>580</v>
      </c>
      <c r="D348" t="s">
        <v>390</v>
      </c>
      <c r="E348">
        <v>1745</v>
      </c>
      <c r="F348">
        <v>394</v>
      </c>
      <c r="G348">
        <v>100.01</v>
      </c>
      <c r="L348">
        <v>52</v>
      </c>
      <c r="M348">
        <v>1289</v>
      </c>
      <c r="N348">
        <v>363</v>
      </c>
      <c r="O348">
        <v>41</v>
      </c>
    </row>
    <row r="349" spans="1:16" x14ac:dyDescent="0.2">
      <c r="A349" t="s">
        <v>341</v>
      </c>
      <c r="B349" t="s">
        <v>346</v>
      </c>
      <c r="C349" t="s">
        <v>580</v>
      </c>
      <c r="D349" t="s">
        <v>390</v>
      </c>
      <c r="E349">
        <v>1580</v>
      </c>
      <c r="F349">
        <v>356</v>
      </c>
      <c r="G349">
        <v>100.57</v>
      </c>
      <c r="L349">
        <v>16</v>
      </c>
      <c r="M349">
        <v>1193</v>
      </c>
      <c r="N349">
        <v>361</v>
      </c>
      <c r="O349">
        <v>10</v>
      </c>
    </row>
    <row r="350" spans="1:16" x14ac:dyDescent="0.2">
      <c r="A350" t="s">
        <v>341</v>
      </c>
      <c r="B350" t="s">
        <v>347</v>
      </c>
      <c r="C350" t="s">
        <v>580</v>
      </c>
      <c r="D350" t="s">
        <v>390</v>
      </c>
      <c r="E350">
        <v>164</v>
      </c>
      <c r="F350">
        <v>38</v>
      </c>
      <c r="G350">
        <v>95.24</v>
      </c>
      <c r="L350">
        <v>36</v>
      </c>
      <c r="M350">
        <v>95</v>
      </c>
      <c r="N350">
        <v>2</v>
      </c>
      <c r="O350">
        <v>31</v>
      </c>
    </row>
    <row r="351" spans="1:16" x14ac:dyDescent="0.2">
      <c r="A351" t="s">
        <v>341</v>
      </c>
      <c r="B351" t="s">
        <v>348</v>
      </c>
      <c r="C351" t="s">
        <v>580</v>
      </c>
      <c r="D351" t="s">
        <v>390</v>
      </c>
      <c r="E351">
        <v>1</v>
      </c>
      <c r="G351">
        <v>8</v>
      </c>
      <c r="M351">
        <v>1</v>
      </c>
    </row>
    <row r="352" spans="1:16" x14ac:dyDescent="0.2">
      <c r="A352" t="s">
        <v>341</v>
      </c>
      <c r="B352" t="s">
        <v>417</v>
      </c>
      <c r="C352" t="s">
        <v>581</v>
      </c>
      <c r="D352" t="s">
        <v>390</v>
      </c>
      <c r="E352">
        <v>1542</v>
      </c>
      <c r="F352">
        <v>692</v>
      </c>
      <c r="G352">
        <v>136.30000000000001</v>
      </c>
      <c r="L352">
        <v>168</v>
      </c>
      <c r="M352">
        <v>961</v>
      </c>
      <c r="N352">
        <v>186</v>
      </c>
      <c r="O352">
        <v>186</v>
      </c>
      <c r="P352">
        <v>41</v>
      </c>
    </row>
    <row r="353" spans="1:16" x14ac:dyDescent="0.2">
      <c r="A353" t="s">
        <v>341</v>
      </c>
      <c r="B353" t="s">
        <v>346</v>
      </c>
      <c r="C353" t="s">
        <v>581</v>
      </c>
      <c r="D353" t="s">
        <v>390</v>
      </c>
      <c r="E353">
        <v>1476</v>
      </c>
      <c r="F353">
        <v>666</v>
      </c>
      <c r="G353">
        <v>137.41</v>
      </c>
      <c r="L353">
        <v>139</v>
      </c>
      <c r="M353">
        <v>946</v>
      </c>
      <c r="N353">
        <v>186</v>
      </c>
      <c r="O353">
        <v>166</v>
      </c>
      <c r="P353">
        <v>39</v>
      </c>
    </row>
    <row r="354" spans="1:16" x14ac:dyDescent="0.2">
      <c r="A354" t="s">
        <v>341</v>
      </c>
      <c r="B354" t="s">
        <v>347</v>
      </c>
      <c r="C354" t="s">
        <v>581</v>
      </c>
      <c r="D354" t="s">
        <v>390</v>
      </c>
      <c r="E354">
        <v>63</v>
      </c>
      <c r="F354">
        <v>24</v>
      </c>
      <c r="G354">
        <v>103.84</v>
      </c>
      <c r="L354">
        <v>29</v>
      </c>
      <c r="M354">
        <v>12</v>
      </c>
      <c r="O354">
        <v>20</v>
      </c>
      <c r="P354">
        <v>2</v>
      </c>
    </row>
    <row r="355" spans="1:16" x14ac:dyDescent="0.2">
      <c r="A355" t="s">
        <v>341</v>
      </c>
      <c r="B355" t="s">
        <v>348</v>
      </c>
      <c r="C355" t="s">
        <v>581</v>
      </c>
      <c r="D355" t="s">
        <v>390</v>
      </c>
      <c r="E355">
        <v>3</v>
      </c>
      <c r="F355">
        <v>2</v>
      </c>
      <c r="G355">
        <v>270.67</v>
      </c>
      <c r="M355">
        <v>3</v>
      </c>
    </row>
    <row r="356" spans="1:16" x14ac:dyDescent="0.2">
      <c r="A356" t="s">
        <v>341</v>
      </c>
      <c r="B356" t="s">
        <v>417</v>
      </c>
      <c r="C356" t="s">
        <v>582</v>
      </c>
      <c r="D356" t="s">
        <v>390</v>
      </c>
      <c r="E356">
        <v>293</v>
      </c>
      <c r="F356">
        <v>68</v>
      </c>
      <c r="G356">
        <v>109.26</v>
      </c>
      <c r="L356">
        <v>42</v>
      </c>
      <c r="M356">
        <v>208</v>
      </c>
      <c r="N356">
        <v>27</v>
      </c>
      <c r="O356">
        <v>16</v>
      </c>
    </row>
    <row r="357" spans="1:16" x14ac:dyDescent="0.2">
      <c r="A357" t="s">
        <v>341</v>
      </c>
      <c r="B357" t="s">
        <v>346</v>
      </c>
      <c r="C357" t="s">
        <v>582</v>
      </c>
      <c r="D357" t="s">
        <v>390</v>
      </c>
      <c r="E357">
        <v>293</v>
      </c>
      <c r="F357">
        <v>68</v>
      </c>
      <c r="G357">
        <v>109.26</v>
      </c>
      <c r="L357">
        <v>42</v>
      </c>
      <c r="M357">
        <v>208</v>
      </c>
      <c r="N357">
        <v>27</v>
      </c>
      <c r="O357">
        <v>16</v>
      </c>
    </row>
    <row r="358" spans="1:16" x14ac:dyDescent="0.2">
      <c r="A358" t="s">
        <v>341</v>
      </c>
      <c r="B358" t="s">
        <v>417</v>
      </c>
      <c r="C358" t="s">
        <v>583</v>
      </c>
      <c r="D358" t="s">
        <v>390</v>
      </c>
      <c r="E358">
        <v>3224</v>
      </c>
      <c r="F358">
        <v>849</v>
      </c>
      <c r="G358">
        <v>105</v>
      </c>
      <c r="L358">
        <v>79</v>
      </c>
      <c r="M358">
        <v>2326</v>
      </c>
      <c r="N358">
        <v>791</v>
      </c>
      <c r="O358">
        <v>28</v>
      </c>
    </row>
    <row r="359" spans="1:16" x14ac:dyDescent="0.2">
      <c r="A359" t="s">
        <v>341</v>
      </c>
      <c r="B359" t="s">
        <v>346</v>
      </c>
      <c r="C359" t="s">
        <v>583</v>
      </c>
      <c r="D359" t="s">
        <v>390</v>
      </c>
      <c r="E359">
        <v>3015</v>
      </c>
      <c r="F359">
        <v>812</v>
      </c>
      <c r="G359">
        <v>106.02</v>
      </c>
      <c r="L359">
        <v>27</v>
      </c>
      <c r="M359">
        <v>2197</v>
      </c>
      <c r="N359">
        <v>787</v>
      </c>
      <c r="O359">
        <v>4</v>
      </c>
    </row>
    <row r="360" spans="1:16" x14ac:dyDescent="0.2">
      <c r="A360" t="s">
        <v>341</v>
      </c>
      <c r="B360" t="s">
        <v>347</v>
      </c>
      <c r="C360" t="s">
        <v>583</v>
      </c>
      <c r="D360" t="s">
        <v>390</v>
      </c>
      <c r="E360">
        <v>202</v>
      </c>
      <c r="F360">
        <v>36</v>
      </c>
      <c r="G360">
        <v>89.62</v>
      </c>
      <c r="L360">
        <v>52</v>
      </c>
      <c r="M360">
        <v>124</v>
      </c>
      <c r="N360">
        <v>2</v>
      </c>
      <c r="O360">
        <v>24</v>
      </c>
    </row>
    <row r="361" spans="1:16" x14ac:dyDescent="0.2">
      <c r="A361" t="s">
        <v>341</v>
      </c>
      <c r="B361" t="s">
        <v>348</v>
      </c>
      <c r="C361" t="s">
        <v>583</v>
      </c>
      <c r="D361" t="s">
        <v>390</v>
      </c>
      <c r="E361">
        <v>7</v>
      </c>
      <c r="F361">
        <v>1</v>
      </c>
      <c r="G361">
        <v>106.43</v>
      </c>
      <c r="M361">
        <v>5</v>
      </c>
      <c r="N361">
        <v>2</v>
      </c>
    </row>
    <row r="362" spans="1:16" x14ac:dyDescent="0.2">
      <c r="A362" t="s">
        <v>341</v>
      </c>
      <c r="B362" t="s">
        <v>417</v>
      </c>
      <c r="C362" t="s">
        <v>584</v>
      </c>
      <c r="D362" t="s">
        <v>390</v>
      </c>
      <c r="E362">
        <v>2116</v>
      </c>
      <c r="F362">
        <v>796</v>
      </c>
      <c r="G362">
        <v>115.21</v>
      </c>
      <c r="L362">
        <v>293</v>
      </c>
      <c r="M362">
        <v>1096</v>
      </c>
      <c r="N362">
        <v>304</v>
      </c>
      <c r="O362">
        <v>325</v>
      </c>
      <c r="P362">
        <v>98</v>
      </c>
    </row>
    <row r="363" spans="1:16" x14ac:dyDescent="0.2">
      <c r="A363" t="s">
        <v>341</v>
      </c>
      <c r="B363" t="s">
        <v>346</v>
      </c>
      <c r="C363" t="s">
        <v>584</v>
      </c>
      <c r="D363" t="s">
        <v>390</v>
      </c>
      <c r="E363">
        <v>1900</v>
      </c>
      <c r="F363">
        <v>686</v>
      </c>
      <c r="G363">
        <v>113.94</v>
      </c>
      <c r="L363">
        <v>230</v>
      </c>
      <c r="M363">
        <v>1042</v>
      </c>
      <c r="N363">
        <v>300</v>
      </c>
      <c r="O363">
        <v>251</v>
      </c>
      <c r="P363">
        <v>77</v>
      </c>
    </row>
    <row r="364" spans="1:16" x14ac:dyDescent="0.2">
      <c r="A364" t="s">
        <v>341</v>
      </c>
      <c r="B364" t="s">
        <v>347</v>
      </c>
      <c r="C364" t="s">
        <v>584</v>
      </c>
      <c r="D364" t="s">
        <v>390</v>
      </c>
      <c r="E364">
        <v>214</v>
      </c>
      <c r="F364">
        <v>110</v>
      </c>
      <c r="G364">
        <v>127.41</v>
      </c>
      <c r="L364">
        <v>63</v>
      </c>
      <c r="M364">
        <v>53</v>
      </c>
      <c r="N364">
        <v>4</v>
      </c>
      <c r="O364">
        <v>73</v>
      </c>
      <c r="P364">
        <v>21</v>
      </c>
    </row>
    <row r="365" spans="1:16" x14ac:dyDescent="0.2">
      <c r="A365" t="s">
        <v>341</v>
      </c>
      <c r="B365" t="s">
        <v>348</v>
      </c>
      <c r="C365" t="s">
        <v>584</v>
      </c>
      <c r="D365" t="s">
        <v>390</v>
      </c>
      <c r="E365">
        <v>2</v>
      </c>
      <c r="G365">
        <v>18.5</v>
      </c>
      <c r="M365">
        <v>1</v>
      </c>
      <c r="O365">
        <v>1</v>
      </c>
    </row>
    <row r="366" spans="1:16" x14ac:dyDescent="0.2">
      <c r="A366" t="s">
        <v>341</v>
      </c>
      <c r="B366" t="s">
        <v>417</v>
      </c>
      <c r="C366" t="s">
        <v>585</v>
      </c>
      <c r="D366" t="s">
        <v>390</v>
      </c>
      <c r="E366">
        <v>291</v>
      </c>
      <c r="F366">
        <v>57</v>
      </c>
      <c r="G366">
        <v>105.61</v>
      </c>
      <c r="L366">
        <v>42</v>
      </c>
      <c r="M366">
        <v>212</v>
      </c>
      <c r="N366">
        <v>24</v>
      </c>
      <c r="O366">
        <v>13</v>
      </c>
    </row>
    <row r="367" spans="1:16" x14ac:dyDescent="0.2">
      <c r="A367" t="s">
        <v>341</v>
      </c>
      <c r="B367" t="s">
        <v>346</v>
      </c>
      <c r="C367" t="s">
        <v>585</v>
      </c>
      <c r="D367" t="s">
        <v>390</v>
      </c>
      <c r="E367">
        <v>291</v>
      </c>
      <c r="F367">
        <v>57</v>
      </c>
      <c r="G367">
        <v>105.61</v>
      </c>
      <c r="L367">
        <v>42</v>
      </c>
      <c r="M367">
        <v>212</v>
      </c>
      <c r="N367">
        <v>24</v>
      </c>
      <c r="O367">
        <v>13</v>
      </c>
    </row>
    <row r="368" spans="1:16" x14ac:dyDescent="0.2">
      <c r="A368" t="s">
        <v>341</v>
      </c>
      <c r="B368" t="s">
        <v>417</v>
      </c>
      <c r="C368" t="s">
        <v>586</v>
      </c>
      <c r="D368" t="s">
        <v>390</v>
      </c>
      <c r="E368">
        <v>181</v>
      </c>
      <c r="F368">
        <v>21</v>
      </c>
      <c r="G368">
        <v>87.69</v>
      </c>
      <c r="L368">
        <v>28</v>
      </c>
      <c r="M368">
        <v>122</v>
      </c>
      <c r="N368">
        <v>21</v>
      </c>
      <c r="O368">
        <v>10</v>
      </c>
    </row>
    <row r="369" spans="1:16" x14ac:dyDescent="0.2">
      <c r="A369" t="s">
        <v>341</v>
      </c>
      <c r="B369" t="s">
        <v>346</v>
      </c>
      <c r="C369" t="s">
        <v>586</v>
      </c>
      <c r="D369" t="s">
        <v>390</v>
      </c>
      <c r="E369">
        <v>181</v>
      </c>
      <c r="F369">
        <v>21</v>
      </c>
      <c r="G369">
        <v>87.69</v>
      </c>
      <c r="L369">
        <v>28</v>
      </c>
      <c r="M369">
        <v>122</v>
      </c>
      <c r="N369">
        <v>21</v>
      </c>
      <c r="O369">
        <v>10</v>
      </c>
    </row>
    <row r="370" spans="1:16" x14ac:dyDescent="0.2">
      <c r="A370" t="s">
        <v>341</v>
      </c>
      <c r="B370" t="s">
        <v>417</v>
      </c>
      <c r="C370" t="s">
        <v>587</v>
      </c>
      <c r="D370" t="s">
        <v>390</v>
      </c>
      <c r="E370">
        <v>6722</v>
      </c>
      <c r="F370">
        <v>1315</v>
      </c>
      <c r="G370">
        <v>91.65</v>
      </c>
      <c r="L370">
        <v>276</v>
      </c>
      <c r="M370">
        <v>4826</v>
      </c>
      <c r="N370">
        <v>1496</v>
      </c>
      <c r="O370">
        <v>124</v>
      </c>
    </row>
    <row r="371" spans="1:16" x14ac:dyDescent="0.2">
      <c r="A371" t="s">
        <v>341</v>
      </c>
      <c r="B371" t="s">
        <v>346</v>
      </c>
      <c r="C371" t="s">
        <v>587</v>
      </c>
      <c r="D371" t="s">
        <v>390</v>
      </c>
      <c r="E371">
        <v>5967</v>
      </c>
      <c r="F371">
        <v>1156</v>
      </c>
      <c r="G371">
        <v>91.54</v>
      </c>
      <c r="L371">
        <v>62</v>
      </c>
      <c r="M371">
        <v>4393</v>
      </c>
      <c r="N371">
        <v>1495</v>
      </c>
      <c r="O371">
        <v>17</v>
      </c>
    </row>
    <row r="372" spans="1:16" x14ac:dyDescent="0.2">
      <c r="A372" t="s">
        <v>341</v>
      </c>
      <c r="B372" t="s">
        <v>347</v>
      </c>
      <c r="C372" t="s">
        <v>587</v>
      </c>
      <c r="D372" t="s">
        <v>390</v>
      </c>
      <c r="E372">
        <v>754</v>
      </c>
      <c r="F372">
        <v>159</v>
      </c>
      <c r="G372">
        <v>92.57</v>
      </c>
      <c r="L372">
        <v>214</v>
      </c>
      <c r="M372">
        <v>432</v>
      </c>
      <c r="N372">
        <v>1</v>
      </c>
      <c r="O372">
        <v>107</v>
      </c>
    </row>
    <row r="373" spans="1:16" x14ac:dyDescent="0.2">
      <c r="A373" t="s">
        <v>341</v>
      </c>
      <c r="B373" t="s">
        <v>348</v>
      </c>
      <c r="C373" t="s">
        <v>587</v>
      </c>
      <c r="D373" t="s">
        <v>390</v>
      </c>
      <c r="E373">
        <v>1</v>
      </c>
      <c r="G373">
        <v>40</v>
      </c>
      <c r="M373">
        <v>1</v>
      </c>
    </row>
    <row r="374" spans="1:16" x14ac:dyDescent="0.2">
      <c r="A374" t="s">
        <v>341</v>
      </c>
      <c r="B374" t="s">
        <v>417</v>
      </c>
      <c r="C374" t="s">
        <v>588</v>
      </c>
      <c r="D374" t="s">
        <v>390</v>
      </c>
      <c r="E374">
        <v>2646</v>
      </c>
      <c r="F374">
        <v>825</v>
      </c>
      <c r="G374">
        <v>110.46</v>
      </c>
      <c r="L374">
        <v>361</v>
      </c>
      <c r="M374">
        <v>1447</v>
      </c>
      <c r="N374">
        <v>363</v>
      </c>
      <c r="O374">
        <v>381</v>
      </c>
      <c r="P374">
        <v>94</v>
      </c>
    </row>
    <row r="375" spans="1:16" x14ac:dyDescent="0.2">
      <c r="A375" t="s">
        <v>341</v>
      </c>
      <c r="B375" t="s">
        <v>346</v>
      </c>
      <c r="C375" t="s">
        <v>588</v>
      </c>
      <c r="D375" t="s">
        <v>390</v>
      </c>
      <c r="E375">
        <v>2433</v>
      </c>
      <c r="F375">
        <v>755</v>
      </c>
      <c r="G375">
        <v>110.53</v>
      </c>
      <c r="L375">
        <v>277</v>
      </c>
      <c r="M375">
        <v>1399</v>
      </c>
      <c r="N375">
        <v>361</v>
      </c>
      <c r="O375">
        <v>311</v>
      </c>
      <c r="P375">
        <v>85</v>
      </c>
    </row>
    <row r="376" spans="1:16" x14ac:dyDescent="0.2">
      <c r="A376" t="s">
        <v>341</v>
      </c>
      <c r="B376" t="s">
        <v>347</v>
      </c>
      <c r="C376" t="s">
        <v>588</v>
      </c>
      <c r="D376" t="s">
        <v>390</v>
      </c>
      <c r="E376">
        <v>209</v>
      </c>
      <c r="F376">
        <v>67</v>
      </c>
      <c r="G376">
        <v>105.78</v>
      </c>
      <c r="L376">
        <v>84</v>
      </c>
      <c r="M376">
        <v>44</v>
      </c>
      <c r="N376">
        <v>2</v>
      </c>
      <c r="O376">
        <v>70</v>
      </c>
      <c r="P376">
        <v>9</v>
      </c>
    </row>
    <row r="377" spans="1:16" x14ac:dyDescent="0.2">
      <c r="A377" t="s">
        <v>341</v>
      </c>
      <c r="B377" t="s">
        <v>348</v>
      </c>
      <c r="C377" t="s">
        <v>588</v>
      </c>
      <c r="D377" t="s">
        <v>390</v>
      </c>
      <c r="E377">
        <v>4</v>
      </c>
      <c r="F377">
        <v>3</v>
      </c>
      <c r="G377">
        <v>310.75</v>
      </c>
      <c r="M377">
        <v>4</v>
      </c>
    </row>
    <row r="378" spans="1:16" x14ac:dyDescent="0.2">
      <c r="A378" t="s">
        <v>341</v>
      </c>
      <c r="B378" t="s">
        <v>417</v>
      </c>
      <c r="C378" t="s">
        <v>589</v>
      </c>
      <c r="D378" t="s">
        <v>390</v>
      </c>
      <c r="E378">
        <v>569</v>
      </c>
      <c r="F378">
        <v>99</v>
      </c>
      <c r="G378">
        <v>78.05</v>
      </c>
      <c r="L378">
        <v>171</v>
      </c>
      <c r="M378">
        <v>291</v>
      </c>
      <c r="N378">
        <v>36</v>
      </c>
      <c r="O378">
        <v>51</v>
      </c>
      <c r="P378">
        <v>20</v>
      </c>
    </row>
    <row r="379" spans="1:16" x14ac:dyDescent="0.2">
      <c r="A379" t="s">
        <v>341</v>
      </c>
      <c r="B379" t="s">
        <v>346</v>
      </c>
      <c r="C379" t="s">
        <v>589</v>
      </c>
      <c r="D379" t="s">
        <v>390</v>
      </c>
      <c r="E379">
        <v>567</v>
      </c>
      <c r="F379">
        <v>99</v>
      </c>
      <c r="G379">
        <v>78.22</v>
      </c>
      <c r="L379">
        <v>169</v>
      </c>
      <c r="M379">
        <v>291</v>
      </c>
      <c r="N379">
        <v>36</v>
      </c>
      <c r="O379">
        <v>51</v>
      </c>
      <c r="P379">
        <v>20</v>
      </c>
    </row>
    <row r="380" spans="1:16" x14ac:dyDescent="0.2">
      <c r="A380" t="s">
        <v>341</v>
      </c>
      <c r="B380" t="s">
        <v>348</v>
      </c>
      <c r="C380" t="s">
        <v>589</v>
      </c>
      <c r="D380" t="s">
        <v>390</v>
      </c>
      <c r="E380">
        <v>2</v>
      </c>
      <c r="G380">
        <v>31</v>
      </c>
      <c r="L380">
        <v>2</v>
      </c>
    </row>
    <row r="381" spans="1:16" x14ac:dyDescent="0.2">
      <c r="A381" t="s">
        <v>341</v>
      </c>
      <c r="B381" t="s">
        <v>417</v>
      </c>
      <c r="C381" t="s">
        <v>590</v>
      </c>
      <c r="D381" t="s">
        <v>390</v>
      </c>
      <c r="E381">
        <v>7641</v>
      </c>
      <c r="F381">
        <v>1326</v>
      </c>
      <c r="G381">
        <v>85.74</v>
      </c>
      <c r="L381">
        <v>368</v>
      </c>
      <c r="M381">
        <v>5313</v>
      </c>
      <c r="N381">
        <v>1790</v>
      </c>
      <c r="O381">
        <v>170</v>
      </c>
    </row>
    <row r="382" spans="1:16" x14ac:dyDescent="0.2">
      <c r="A382" t="s">
        <v>341</v>
      </c>
      <c r="B382" t="s">
        <v>346</v>
      </c>
      <c r="C382" t="s">
        <v>590</v>
      </c>
      <c r="D382" t="s">
        <v>390</v>
      </c>
      <c r="E382">
        <v>6772</v>
      </c>
      <c r="F382">
        <v>1207</v>
      </c>
      <c r="G382">
        <v>86.51</v>
      </c>
      <c r="L382">
        <v>94</v>
      </c>
      <c r="M382">
        <v>4877</v>
      </c>
      <c r="N382">
        <v>1782</v>
      </c>
      <c r="O382">
        <v>19</v>
      </c>
    </row>
    <row r="383" spans="1:16" x14ac:dyDescent="0.2">
      <c r="A383" t="s">
        <v>341</v>
      </c>
      <c r="B383" t="s">
        <v>347</v>
      </c>
      <c r="C383" t="s">
        <v>590</v>
      </c>
      <c r="D383" t="s">
        <v>390</v>
      </c>
      <c r="E383">
        <v>858</v>
      </c>
      <c r="F383">
        <v>119</v>
      </c>
      <c r="G383">
        <v>80.02</v>
      </c>
      <c r="L383">
        <v>274</v>
      </c>
      <c r="M383">
        <v>429</v>
      </c>
      <c r="N383">
        <v>4</v>
      </c>
      <c r="O383">
        <v>151</v>
      </c>
    </row>
    <row r="384" spans="1:16" x14ac:dyDescent="0.2">
      <c r="A384" t="s">
        <v>341</v>
      </c>
      <c r="B384" t="s">
        <v>348</v>
      </c>
      <c r="C384" t="s">
        <v>590</v>
      </c>
      <c r="D384" t="s">
        <v>390</v>
      </c>
      <c r="E384">
        <v>11</v>
      </c>
      <c r="G384">
        <v>55</v>
      </c>
      <c r="M384">
        <v>7</v>
      </c>
      <c r="N384">
        <v>4</v>
      </c>
    </row>
    <row r="385" spans="1:16" x14ac:dyDescent="0.2">
      <c r="A385" t="s">
        <v>341</v>
      </c>
      <c r="B385" t="s">
        <v>417</v>
      </c>
      <c r="C385" t="s">
        <v>591</v>
      </c>
      <c r="D385" t="s">
        <v>390</v>
      </c>
      <c r="E385">
        <v>1845</v>
      </c>
      <c r="F385">
        <v>631</v>
      </c>
      <c r="G385">
        <v>118.91</v>
      </c>
      <c r="L385">
        <v>208</v>
      </c>
      <c r="M385">
        <v>1000</v>
      </c>
      <c r="N385">
        <v>265</v>
      </c>
      <c r="O385">
        <v>300</v>
      </c>
      <c r="P385">
        <v>71</v>
      </c>
    </row>
    <row r="386" spans="1:16" x14ac:dyDescent="0.2">
      <c r="A386" t="s">
        <v>341</v>
      </c>
      <c r="B386" t="s">
        <v>346</v>
      </c>
      <c r="C386" t="s">
        <v>591</v>
      </c>
      <c r="D386" t="s">
        <v>390</v>
      </c>
      <c r="E386">
        <v>1718</v>
      </c>
      <c r="F386">
        <v>577</v>
      </c>
      <c r="G386">
        <v>119.19</v>
      </c>
      <c r="L386">
        <v>168</v>
      </c>
      <c r="M386">
        <v>963</v>
      </c>
      <c r="N386">
        <v>262</v>
      </c>
      <c r="O386">
        <v>260</v>
      </c>
      <c r="P386">
        <v>64</v>
      </c>
    </row>
    <row r="387" spans="1:16" x14ac:dyDescent="0.2">
      <c r="A387" t="s">
        <v>341</v>
      </c>
      <c r="B387" t="s">
        <v>347</v>
      </c>
      <c r="C387" t="s">
        <v>591</v>
      </c>
      <c r="D387" t="s">
        <v>390</v>
      </c>
      <c r="E387">
        <v>125</v>
      </c>
      <c r="F387">
        <v>54</v>
      </c>
      <c r="G387">
        <v>116.45</v>
      </c>
      <c r="L387">
        <v>39</v>
      </c>
      <c r="M387">
        <v>36</v>
      </c>
      <c r="N387">
        <v>3</v>
      </c>
      <c r="O387">
        <v>40</v>
      </c>
      <c r="P387">
        <v>7</v>
      </c>
    </row>
    <row r="388" spans="1:16" x14ac:dyDescent="0.2">
      <c r="A388" t="s">
        <v>341</v>
      </c>
      <c r="B388" t="s">
        <v>348</v>
      </c>
      <c r="C388" t="s">
        <v>591</v>
      </c>
      <c r="D388" t="s">
        <v>390</v>
      </c>
      <c r="E388">
        <v>2</v>
      </c>
      <c r="G388">
        <v>28.5</v>
      </c>
      <c r="L388">
        <v>1</v>
      </c>
      <c r="M388">
        <v>1</v>
      </c>
    </row>
    <row r="389" spans="1:16" x14ac:dyDescent="0.2">
      <c r="A389" t="s">
        <v>341</v>
      </c>
      <c r="B389" t="s">
        <v>417</v>
      </c>
      <c r="C389" t="s">
        <v>592</v>
      </c>
      <c r="D389" t="s">
        <v>390</v>
      </c>
      <c r="E389">
        <v>608</v>
      </c>
      <c r="F389">
        <v>49</v>
      </c>
      <c r="G389">
        <v>74.05</v>
      </c>
      <c r="L389">
        <v>159</v>
      </c>
      <c r="M389">
        <v>391</v>
      </c>
      <c r="N389">
        <v>33</v>
      </c>
      <c r="O389">
        <v>22</v>
      </c>
      <c r="P389">
        <v>3</v>
      </c>
    </row>
    <row r="390" spans="1:16" x14ac:dyDescent="0.2">
      <c r="A390" t="s">
        <v>341</v>
      </c>
      <c r="B390" t="s">
        <v>346</v>
      </c>
      <c r="C390" t="s">
        <v>592</v>
      </c>
      <c r="D390" t="s">
        <v>390</v>
      </c>
      <c r="E390">
        <v>607</v>
      </c>
      <c r="F390">
        <v>49</v>
      </c>
      <c r="G390">
        <v>74.069999999999993</v>
      </c>
      <c r="L390">
        <v>159</v>
      </c>
      <c r="M390">
        <v>390</v>
      </c>
      <c r="N390">
        <v>33</v>
      </c>
      <c r="O390">
        <v>22</v>
      </c>
      <c r="P390">
        <v>3</v>
      </c>
    </row>
    <row r="391" spans="1:16" x14ac:dyDescent="0.2">
      <c r="A391" t="s">
        <v>341</v>
      </c>
      <c r="B391" t="s">
        <v>348</v>
      </c>
      <c r="C391" t="s">
        <v>592</v>
      </c>
      <c r="D391" t="s">
        <v>390</v>
      </c>
      <c r="E391">
        <v>1</v>
      </c>
      <c r="G391">
        <v>67</v>
      </c>
      <c r="M391">
        <v>1</v>
      </c>
    </row>
    <row r="392" spans="1:16" x14ac:dyDescent="0.2">
      <c r="A392" t="s">
        <v>341</v>
      </c>
      <c r="B392" t="s">
        <v>417</v>
      </c>
      <c r="C392" t="s">
        <v>593</v>
      </c>
      <c r="D392" t="s">
        <v>390</v>
      </c>
      <c r="E392">
        <v>4530</v>
      </c>
      <c r="F392">
        <v>851</v>
      </c>
      <c r="G392">
        <v>90.12</v>
      </c>
      <c r="L392">
        <v>116</v>
      </c>
      <c r="M392">
        <v>2935</v>
      </c>
      <c r="N392">
        <v>1372</v>
      </c>
      <c r="O392">
        <v>107</v>
      </c>
    </row>
    <row r="393" spans="1:16" x14ac:dyDescent="0.2">
      <c r="A393" t="s">
        <v>341</v>
      </c>
      <c r="B393" t="s">
        <v>346</v>
      </c>
      <c r="C393" t="s">
        <v>593</v>
      </c>
      <c r="D393" t="s">
        <v>390</v>
      </c>
      <c r="E393">
        <v>4150</v>
      </c>
      <c r="F393">
        <v>776</v>
      </c>
      <c r="G393">
        <v>89.7</v>
      </c>
      <c r="L393">
        <v>36</v>
      </c>
      <c r="M393">
        <v>2727</v>
      </c>
      <c r="N393">
        <v>1368</v>
      </c>
      <c r="O393">
        <v>19</v>
      </c>
    </row>
    <row r="394" spans="1:16" x14ac:dyDescent="0.2">
      <c r="A394" t="s">
        <v>341</v>
      </c>
      <c r="B394" t="s">
        <v>347</v>
      </c>
      <c r="C394" t="s">
        <v>593</v>
      </c>
      <c r="D394" t="s">
        <v>390</v>
      </c>
      <c r="E394">
        <v>376</v>
      </c>
      <c r="F394">
        <v>74</v>
      </c>
      <c r="G394">
        <v>94.71</v>
      </c>
      <c r="L394">
        <v>80</v>
      </c>
      <c r="M394">
        <v>205</v>
      </c>
      <c r="N394">
        <v>3</v>
      </c>
      <c r="O394">
        <v>88</v>
      </c>
    </row>
    <row r="395" spans="1:16" x14ac:dyDescent="0.2">
      <c r="A395" t="s">
        <v>341</v>
      </c>
      <c r="B395" t="s">
        <v>348</v>
      </c>
      <c r="C395" t="s">
        <v>593</v>
      </c>
      <c r="D395" t="s">
        <v>390</v>
      </c>
      <c r="E395">
        <v>4</v>
      </c>
      <c r="F395">
        <v>1</v>
      </c>
      <c r="G395">
        <v>94</v>
      </c>
      <c r="M395">
        <v>3</v>
      </c>
      <c r="N395">
        <v>1</v>
      </c>
    </row>
    <row r="396" spans="1:16" x14ac:dyDescent="0.2">
      <c r="A396" t="s">
        <v>341</v>
      </c>
      <c r="B396" t="s">
        <v>417</v>
      </c>
      <c r="C396" t="s">
        <v>594</v>
      </c>
      <c r="D396" t="s">
        <v>390</v>
      </c>
      <c r="E396">
        <v>1147</v>
      </c>
      <c r="F396">
        <v>335</v>
      </c>
      <c r="G396">
        <v>106.59</v>
      </c>
      <c r="L396">
        <v>117</v>
      </c>
      <c r="M396">
        <v>640</v>
      </c>
      <c r="N396">
        <v>166</v>
      </c>
      <c r="O396">
        <v>179</v>
      </c>
      <c r="P396">
        <v>45</v>
      </c>
    </row>
    <row r="397" spans="1:16" x14ac:dyDescent="0.2">
      <c r="A397" t="s">
        <v>341</v>
      </c>
      <c r="B397" t="s">
        <v>346</v>
      </c>
      <c r="C397" t="s">
        <v>594</v>
      </c>
      <c r="D397" t="s">
        <v>390</v>
      </c>
      <c r="E397">
        <v>1058</v>
      </c>
      <c r="F397">
        <v>293</v>
      </c>
      <c r="G397">
        <v>105.93</v>
      </c>
      <c r="L397">
        <v>94</v>
      </c>
      <c r="M397">
        <v>616</v>
      </c>
      <c r="N397">
        <v>164</v>
      </c>
      <c r="O397">
        <v>146</v>
      </c>
      <c r="P397">
        <v>38</v>
      </c>
    </row>
    <row r="398" spans="1:16" x14ac:dyDescent="0.2">
      <c r="A398" t="s">
        <v>341</v>
      </c>
      <c r="B398" t="s">
        <v>347</v>
      </c>
      <c r="C398" t="s">
        <v>594</v>
      </c>
      <c r="D398" t="s">
        <v>390</v>
      </c>
      <c r="E398">
        <v>89</v>
      </c>
      <c r="F398">
        <v>42</v>
      </c>
      <c r="G398">
        <v>114.53</v>
      </c>
      <c r="L398">
        <v>23</v>
      </c>
      <c r="M398">
        <v>24</v>
      </c>
      <c r="N398">
        <v>2</v>
      </c>
      <c r="O398">
        <v>33</v>
      </c>
      <c r="P398">
        <v>7</v>
      </c>
    </row>
    <row r="399" spans="1:16" x14ac:dyDescent="0.2">
      <c r="A399" t="s">
        <v>341</v>
      </c>
      <c r="B399" t="s">
        <v>417</v>
      </c>
      <c r="C399" t="s">
        <v>595</v>
      </c>
      <c r="D399" t="s">
        <v>390</v>
      </c>
      <c r="E399">
        <v>265</v>
      </c>
      <c r="F399">
        <v>36</v>
      </c>
      <c r="G399">
        <v>74.37</v>
      </c>
      <c r="L399">
        <v>86</v>
      </c>
      <c r="M399">
        <v>153</v>
      </c>
      <c r="N399">
        <v>17</v>
      </c>
      <c r="O399">
        <v>5</v>
      </c>
      <c r="P399">
        <v>4</v>
      </c>
    </row>
    <row r="400" spans="1:16" x14ac:dyDescent="0.2">
      <c r="A400" t="s">
        <v>341</v>
      </c>
      <c r="B400" t="s">
        <v>346</v>
      </c>
      <c r="C400" t="s">
        <v>595</v>
      </c>
      <c r="D400" t="s">
        <v>390</v>
      </c>
      <c r="E400">
        <v>265</v>
      </c>
      <c r="F400">
        <v>36</v>
      </c>
      <c r="G400">
        <v>74.37</v>
      </c>
      <c r="L400">
        <v>86</v>
      </c>
      <c r="M400">
        <v>153</v>
      </c>
      <c r="N400">
        <v>17</v>
      </c>
      <c r="O400">
        <v>5</v>
      </c>
      <c r="P400">
        <v>4</v>
      </c>
    </row>
    <row r="401" spans="1:16" x14ac:dyDescent="0.2">
      <c r="A401" t="s">
        <v>341</v>
      </c>
      <c r="B401" t="s">
        <v>417</v>
      </c>
      <c r="C401" t="s">
        <v>596</v>
      </c>
      <c r="D401" t="s">
        <v>390</v>
      </c>
      <c r="E401">
        <v>3478</v>
      </c>
      <c r="F401">
        <v>564</v>
      </c>
      <c r="G401">
        <v>82.07</v>
      </c>
      <c r="L401">
        <v>95</v>
      </c>
      <c r="M401">
        <v>2400</v>
      </c>
      <c r="N401">
        <v>912</v>
      </c>
      <c r="O401">
        <v>71</v>
      </c>
    </row>
    <row r="402" spans="1:16" x14ac:dyDescent="0.2">
      <c r="A402" t="s">
        <v>341</v>
      </c>
      <c r="B402" t="s">
        <v>346</v>
      </c>
      <c r="C402" t="s">
        <v>596</v>
      </c>
      <c r="D402" t="s">
        <v>390</v>
      </c>
      <c r="E402">
        <v>3169</v>
      </c>
      <c r="F402">
        <v>503</v>
      </c>
      <c r="G402">
        <v>80.680000000000007</v>
      </c>
      <c r="L402">
        <v>22</v>
      </c>
      <c r="M402">
        <v>2226</v>
      </c>
      <c r="N402">
        <v>907</v>
      </c>
      <c r="O402">
        <v>14</v>
      </c>
    </row>
    <row r="403" spans="1:16" x14ac:dyDescent="0.2">
      <c r="A403" t="s">
        <v>341</v>
      </c>
      <c r="B403" t="s">
        <v>347</v>
      </c>
      <c r="C403" t="s">
        <v>596</v>
      </c>
      <c r="D403" t="s">
        <v>390</v>
      </c>
      <c r="E403">
        <v>303</v>
      </c>
      <c r="F403">
        <v>60</v>
      </c>
      <c r="G403">
        <v>96.63</v>
      </c>
      <c r="L403">
        <v>73</v>
      </c>
      <c r="M403">
        <v>170</v>
      </c>
      <c r="N403">
        <v>3</v>
      </c>
      <c r="O403">
        <v>57</v>
      </c>
    </row>
    <row r="404" spans="1:16" x14ac:dyDescent="0.2">
      <c r="A404" t="s">
        <v>341</v>
      </c>
      <c r="B404" t="s">
        <v>348</v>
      </c>
      <c r="C404" t="s">
        <v>596</v>
      </c>
      <c r="D404" t="s">
        <v>390</v>
      </c>
      <c r="E404">
        <v>6</v>
      </c>
      <c r="F404">
        <v>1</v>
      </c>
      <c r="G404">
        <v>85.67</v>
      </c>
      <c r="M404">
        <v>4</v>
      </c>
      <c r="N404">
        <v>2</v>
      </c>
    </row>
    <row r="405" spans="1:16" x14ac:dyDescent="0.2">
      <c r="A405" t="s">
        <v>341</v>
      </c>
      <c r="B405" t="s">
        <v>417</v>
      </c>
      <c r="C405" t="s">
        <v>597</v>
      </c>
      <c r="D405" t="s">
        <v>390</v>
      </c>
      <c r="E405">
        <v>814</v>
      </c>
      <c r="F405">
        <v>294</v>
      </c>
      <c r="G405">
        <v>138.15</v>
      </c>
      <c r="L405">
        <v>140</v>
      </c>
      <c r="M405">
        <v>435</v>
      </c>
      <c r="N405">
        <v>106</v>
      </c>
      <c r="O405">
        <v>116</v>
      </c>
      <c r="P405">
        <v>17</v>
      </c>
    </row>
    <row r="406" spans="1:16" x14ac:dyDescent="0.2">
      <c r="A406" t="s">
        <v>341</v>
      </c>
      <c r="B406" t="s">
        <v>346</v>
      </c>
      <c r="C406" t="s">
        <v>597</v>
      </c>
      <c r="D406" t="s">
        <v>390</v>
      </c>
      <c r="E406">
        <v>741</v>
      </c>
      <c r="F406">
        <v>263</v>
      </c>
      <c r="G406">
        <v>139.66999999999999</v>
      </c>
      <c r="L406">
        <v>112</v>
      </c>
      <c r="M406">
        <v>416</v>
      </c>
      <c r="N406">
        <v>105</v>
      </c>
      <c r="O406">
        <v>92</v>
      </c>
      <c r="P406">
        <v>16</v>
      </c>
    </row>
    <row r="407" spans="1:16" x14ac:dyDescent="0.2">
      <c r="A407" t="s">
        <v>341</v>
      </c>
      <c r="B407" t="s">
        <v>347</v>
      </c>
      <c r="C407" t="s">
        <v>597</v>
      </c>
      <c r="D407" t="s">
        <v>390</v>
      </c>
      <c r="E407">
        <v>73</v>
      </c>
      <c r="F407">
        <v>31</v>
      </c>
      <c r="G407">
        <v>122.68</v>
      </c>
      <c r="L407">
        <v>28</v>
      </c>
      <c r="M407">
        <v>19</v>
      </c>
      <c r="N407">
        <v>1</v>
      </c>
      <c r="O407">
        <v>24</v>
      </c>
      <c r="P407">
        <v>1</v>
      </c>
    </row>
    <row r="408" spans="1:16" x14ac:dyDescent="0.2">
      <c r="A408" t="s">
        <v>341</v>
      </c>
      <c r="B408" t="s">
        <v>417</v>
      </c>
      <c r="C408" t="s">
        <v>598</v>
      </c>
      <c r="D408" t="s">
        <v>390</v>
      </c>
      <c r="E408">
        <v>2737</v>
      </c>
      <c r="F408">
        <v>830</v>
      </c>
      <c r="G408">
        <v>115.28</v>
      </c>
      <c r="L408">
        <v>42</v>
      </c>
      <c r="M408">
        <v>1999</v>
      </c>
      <c r="N408">
        <v>678</v>
      </c>
      <c r="O408">
        <v>18</v>
      </c>
    </row>
    <row r="409" spans="1:16" x14ac:dyDescent="0.2">
      <c r="A409" t="s">
        <v>341</v>
      </c>
      <c r="B409" t="s">
        <v>346</v>
      </c>
      <c r="C409" t="s">
        <v>598</v>
      </c>
      <c r="D409" t="s">
        <v>390</v>
      </c>
      <c r="E409">
        <v>2616</v>
      </c>
      <c r="F409">
        <v>800</v>
      </c>
      <c r="G409">
        <v>115.96</v>
      </c>
      <c r="L409">
        <v>24</v>
      </c>
      <c r="M409">
        <v>1907</v>
      </c>
      <c r="N409">
        <v>677</v>
      </c>
      <c r="O409">
        <v>8</v>
      </c>
    </row>
    <row r="410" spans="1:16" x14ac:dyDescent="0.2">
      <c r="A410" t="s">
        <v>341</v>
      </c>
      <c r="B410" t="s">
        <v>347</v>
      </c>
      <c r="C410" t="s">
        <v>598</v>
      </c>
      <c r="D410" t="s">
        <v>390</v>
      </c>
      <c r="E410">
        <v>120</v>
      </c>
      <c r="F410">
        <v>30</v>
      </c>
      <c r="G410">
        <v>100.94</v>
      </c>
      <c r="L410">
        <v>18</v>
      </c>
      <c r="M410">
        <v>91</v>
      </c>
      <c r="N410">
        <v>1</v>
      </c>
      <c r="O410">
        <v>10</v>
      </c>
    </row>
    <row r="411" spans="1:16" x14ac:dyDescent="0.2">
      <c r="A411" t="s">
        <v>341</v>
      </c>
      <c r="B411" t="s">
        <v>348</v>
      </c>
      <c r="C411" t="s">
        <v>598</v>
      </c>
      <c r="D411" t="s">
        <v>390</v>
      </c>
      <c r="E411">
        <v>1</v>
      </c>
      <c r="G411">
        <v>51</v>
      </c>
      <c r="M411">
        <v>1</v>
      </c>
    </row>
    <row r="412" spans="1:16" x14ac:dyDescent="0.2">
      <c r="A412" t="s">
        <v>341</v>
      </c>
      <c r="B412" t="s">
        <v>417</v>
      </c>
      <c r="C412" t="s">
        <v>599</v>
      </c>
      <c r="D412" t="s">
        <v>390</v>
      </c>
      <c r="E412">
        <v>2432</v>
      </c>
      <c r="F412">
        <v>842</v>
      </c>
      <c r="G412">
        <v>115.84</v>
      </c>
      <c r="L412">
        <v>314</v>
      </c>
      <c r="M412">
        <v>1414</v>
      </c>
      <c r="N412">
        <v>338</v>
      </c>
      <c r="O412">
        <v>289</v>
      </c>
      <c r="P412">
        <v>77</v>
      </c>
    </row>
    <row r="413" spans="1:16" x14ac:dyDescent="0.2">
      <c r="A413" t="s">
        <v>341</v>
      </c>
      <c r="B413" t="s">
        <v>346</v>
      </c>
      <c r="C413" t="s">
        <v>599</v>
      </c>
      <c r="D413" t="s">
        <v>390</v>
      </c>
      <c r="E413">
        <v>2232</v>
      </c>
      <c r="F413">
        <v>724</v>
      </c>
      <c r="G413">
        <v>113.66</v>
      </c>
      <c r="L413">
        <v>267</v>
      </c>
      <c r="M413">
        <v>1347</v>
      </c>
      <c r="N413">
        <v>336</v>
      </c>
      <c r="O413">
        <v>215</v>
      </c>
      <c r="P413">
        <v>67</v>
      </c>
    </row>
    <row r="414" spans="1:16" x14ac:dyDescent="0.2">
      <c r="A414" t="s">
        <v>341</v>
      </c>
      <c r="B414" t="s">
        <v>347</v>
      </c>
      <c r="C414" t="s">
        <v>599</v>
      </c>
      <c r="D414" t="s">
        <v>390</v>
      </c>
      <c r="E414">
        <v>196</v>
      </c>
      <c r="F414">
        <v>116</v>
      </c>
      <c r="G414">
        <v>140.11000000000001</v>
      </c>
      <c r="L414">
        <v>47</v>
      </c>
      <c r="M414">
        <v>66</v>
      </c>
      <c r="N414">
        <v>1</v>
      </c>
      <c r="O414">
        <v>72</v>
      </c>
      <c r="P414">
        <v>10</v>
      </c>
    </row>
    <row r="415" spans="1:16" x14ac:dyDescent="0.2">
      <c r="A415" t="s">
        <v>341</v>
      </c>
      <c r="B415" t="s">
        <v>348</v>
      </c>
      <c r="C415" t="s">
        <v>599</v>
      </c>
      <c r="D415" t="s">
        <v>390</v>
      </c>
      <c r="E415">
        <v>4</v>
      </c>
      <c r="F415">
        <v>2</v>
      </c>
      <c r="G415">
        <v>143.5</v>
      </c>
      <c r="M415">
        <v>1</v>
      </c>
      <c r="N415">
        <v>1</v>
      </c>
      <c r="O415">
        <v>2</v>
      </c>
    </row>
    <row r="416" spans="1:16" x14ac:dyDescent="0.2">
      <c r="A416" t="s">
        <v>341</v>
      </c>
      <c r="B416" t="s">
        <v>417</v>
      </c>
      <c r="C416" t="s">
        <v>600</v>
      </c>
      <c r="D416" t="s">
        <v>390</v>
      </c>
      <c r="E416">
        <v>476</v>
      </c>
      <c r="F416">
        <v>115</v>
      </c>
      <c r="G416">
        <v>96.74</v>
      </c>
      <c r="L416">
        <v>112</v>
      </c>
      <c r="M416">
        <v>219</v>
      </c>
      <c r="N416">
        <v>37</v>
      </c>
      <c r="O416">
        <v>92</v>
      </c>
      <c r="P416">
        <v>16</v>
      </c>
    </row>
    <row r="417" spans="1:16" x14ac:dyDescent="0.2">
      <c r="A417" t="s">
        <v>341</v>
      </c>
      <c r="B417" t="s">
        <v>346</v>
      </c>
      <c r="C417" t="s">
        <v>600</v>
      </c>
      <c r="D417" t="s">
        <v>390</v>
      </c>
      <c r="E417">
        <v>370</v>
      </c>
      <c r="F417">
        <v>78</v>
      </c>
      <c r="G417">
        <v>96.82</v>
      </c>
      <c r="L417">
        <v>73</v>
      </c>
      <c r="M417">
        <v>198</v>
      </c>
      <c r="N417">
        <v>34</v>
      </c>
      <c r="O417">
        <v>54</v>
      </c>
      <c r="P417">
        <v>11</v>
      </c>
    </row>
    <row r="418" spans="1:16" x14ac:dyDescent="0.2">
      <c r="A418" t="s">
        <v>341</v>
      </c>
      <c r="B418" t="s">
        <v>347</v>
      </c>
      <c r="C418" t="s">
        <v>600</v>
      </c>
      <c r="D418" t="s">
        <v>390</v>
      </c>
      <c r="E418">
        <v>106</v>
      </c>
      <c r="F418">
        <v>37</v>
      </c>
      <c r="G418">
        <v>96.43</v>
      </c>
      <c r="L418">
        <v>39</v>
      </c>
      <c r="M418">
        <v>21</v>
      </c>
      <c r="N418">
        <v>3</v>
      </c>
      <c r="O418">
        <v>38</v>
      </c>
      <c r="P418">
        <v>5</v>
      </c>
    </row>
    <row r="419" spans="1:16" x14ac:dyDescent="0.2">
      <c r="A419" t="s">
        <v>341</v>
      </c>
      <c r="B419" t="s">
        <v>417</v>
      </c>
      <c r="C419" t="s">
        <v>601</v>
      </c>
      <c r="D419" t="s">
        <v>390</v>
      </c>
      <c r="E419">
        <v>61</v>
      </c>
      <c r="F419">
        <v>13</v>
      </c>
      <c r="G419">
        <v>95.7</v>
      </c>
      <c r="L419">
        <v>17</v>
      </c>
      <c r="M419">
        <v>26</v>
      </c>
      <c r="N419">
        <v>13</v>
      </c>
      <c r="O419">
        <v>3</v>
      </c>
      <c r="P419">
        <v>2</v>
      </c>
    </row>
    <row r="420" spans="1:16" x14ac:dyDescent="0.2">
      <c r="A420" t="s">
        <v>341</v>
      </c>
      <c r="B420" t="s">
        <v>346</v>
      </c>
      <c r="C420" t="s">
        <v>601</v>
      </c>
      <c r="D420" t="s">
        <v>390</v>
      </c>
      <c r="E420">
        <v>61</v>
      </c>
      <c r="F420">
        <v>13</v>
      </c>
      <c r="G420">
        <v>95.7</v>
      </c>
      <c r="L420">
        <v>17</v>
      </c>
      <c r="M420">
        <v>26</v>
      </c>
      <c r="N420">
        <v>13</v>
      </c>
      <c r="O420">
        <v>3</v>
      </c>
      <c r="P420">
        <v>2</v>
      </c>
    </row>
    <row r="421" spans="1:16" x14ac:dyDescent="0.2">
      <c r="A421" t="s">
        <v>341</v>
      </c>
      <c r="B421" t="s">
        <v>417</v>
      </c>
      <c r="C421" t="s">
        <v>602</v>
      </c>
      <c r="D421" t="s">
        <v>390</v>
      </c>
      <c r="E421">
        <v>6997</v>
      </c>
      <c r="F421">
        <v>1388</v>
      </c>
      <c r="G421">
        <v>89.88</v>
      </c>
      <c r="L421">
        <v>342</v>
      </c>
      <c r="M421">
        <v>4953</v>
      </c>
      <c r="N421">
        <v>1511</v>
      </c>
      <c r="O421">
        <v>191</v>
      </c>
    </row>
    <row r="422" spans="1:16" x14ac:dyDescent="0.2">
      <c r="A422" t="s">
        <v>341</v>
      </c>
      <c r="B422" t="s">
        <v>346</v>
      </c>
      <c r="C422" t="s">
        <v>602</v>
      </c>
      <c r="D422" t="s">
        <v>390</v>
      </c>
      <c r="E422">
        <v>5999</v>
      </c>
      <c r="F422">
        <v>1197</v>
      </c>
      <c r="G422">
        <v>90.17</v>
      </c>
      <c r="L422">
        <v>71</v>
      </c>
      <c r="M422">
        <v>4397</v>
      </c>
      <c r="N422">
        <v>1504</v>
      </c>
      <c r="O422">
        <v>27</v>
      </c>
    </row>
    <row r="423" spans="1:16" x14ac:dyDescent="0.2">
      <c r="A423" t="s">
        <v>341</v>
      </c>
      <c r="B423" t="s">
        <v>347</v>
      </c>
      <c r="C423" t="s">
        <v>602</v>
      </c>
      <c r="D423" t="s">
        <v>390</v>
      </c>
      <c r="E423">
        <v>990</v>
      </c>
      <c r="F423">
        <v>187</v>
      </c>
      <c r="G423">
        <v>87.62</v>
      </c>
      <c r="L423">
        <v>271</v>
      </c>
      <c r="M423">
        <v>550</v>
      </c>
      <c r="N423">
        <v>5</v>
      </c>
      <c r="O423">
        <v>164</v>
      </c>
    </row>
    <row r="424" spans="1:16" x14ac:dyDescent="0.2">
      <c r="A424" t="s">
        <v>341</v>
      </c>
      <c r="B424" t="s">
        <v>348</v>
      </c>
      <c r="C424" t="s">
        <v>602</v>
      </c>
      <c r="D424" t="s">
        <v>390</v>
      </c>
      <c r="E424">
        <v>7</v>
      </c>
      <c r="F424">
        <v>3</v>
      </c>
      <c r="G424">
        <v>115.43</v>
      </c>
      <c r="M424">
        <v>5</v>
      </c>
      <c r="N424">
        <v>2</v>
      </c>
    </row>
    <row r="425" spans="1:16" x14ac:dyDescent="0.2">
      <c r="A425" t="s">
        <v>341</v>
      </c>
      <c r="B425" t="s">
        <v>349</v>
      </c>
      <c r="C425" t="s">
        <v>602</v>
      </c>
      <c r="D425" t="s">
        <v>390</v>
      </c>
      <c r="E425">
        <v>1</v>
      </c>
      <c r="F425">
        <v>1</v>
      </c>
      <c r="G425">
        <v>440</v>
      </c>
      <c r="M425">
        <v>1</v>
      </c>
    </row>
    <row r="426" spans="1:16" x14ac:dyDescent="0.2">
      <c r="A426" t="s">
        <v>341</v>
      </c>
      <c r="B426" t="s">
        <v>417</v>
      </c>
      <c r="C426" t="s">
        <v>604</v>
      </c>
      <c r="D426" t="s">
        <v>390</v>
      </c>
      <c r="E426">
        <v>486</v>
      </c>
      <c r="F426">
        <v>157</v>
      </c>
      <c r="G426">
        <v>111.31</v>
      </c>
      <c r="L426">
        <v>78</v>
      </c>
      <c r="M426">
        <v>82</v>
      </c>
      <c r="N426">
        <v>192</v>
      </c>
      <c r="O426">
        <v>126</v>
      </c>
      <c r="P426">
        <v>8</v>
      </c>
    </row>
    <row r="427" spans="1:16" x14ac:dyDescent="0.2">
      <c r="A427" t="s">
        <v>341</v>
      </c>
      <c r="B427" t="s">
        <v>346</v>
      </c>
      <c r="C427" t="s">
        <v>604</v>
      </c>
      <c r="D427" t="s">
        <v>390</v>
      </c>
      <c r="E427">
        <v>401</v>
      </c>
      <c r="F427">
        <v>135</v>
      </c>
      <c r="G427">
        <v>114.88</v>
      </c>
      <c r="L427">
        <v>49</v>
      </c>
      <c r="M427">
        <v>68</v>
      </c>
      <c r="N427">
        <v>190</v>
      </c>
      <c r="O427">
        <v>88</v>
      </c>
      <c r="P427">
        <v>6</v>
      </c>
    </row>
    <row r="428" spans="1:16" x14ac:dyDescent="0.2">
      <c r="A428" t="s">
        <v>341</v>
      </c>
      <c r="B428" t="s">
        <v>347</v>
      </c>
      <c r="C428" t="s">
        <v>604</v>
      </c>
      <c r="D428" t="s">
        <v>390</v>
      </c>
      <c r="E428">
        <v>83</v>
      </c>
      <c r="F428">
        <v>20</v>
      </c>
      <c r="G428">
        <v>92.61</v>
      </c>
      <c r="L428">
        <v>29</v>
      </c>
      <c r="M428">
        <v>14</v>
      </c>
      <c r="N428">
        <v>1</v>
      </c>
      <c r="O428">
        <v>37</v>
      </c>
      <c r="P428">
        <v>2</v>
      </c>
    </row>
    <row r="429" spans="1:16" x14ac:dyDescent="0.2">
      <c r="A429" t="s">
        <v>341</v>
      </c>
      <c r="B429" t="s">
        <v>348</v>
      </c>
      <c r="C429" t="s">
        <v>604</v>
      </c>
      <c r="D429" t="s">
        <v>390</v>
      </c>
      <c r="E429">
        <v>2</v>
      </c>
      <c r="F429">
        <v>2</v>
      </c>
      <c r="G429">
        <v>171</v>
      </c>
      <c r="N429">
        <v>1</v>
      </c>
      <c r="O429">
        <v>1</v>
      </c>
    </row>
    <row r="430" spans="1:16" x14ac:dyDescent="0.2">
      <c r="A430" t="s">
        <v>341</v>
      </c>
      <c r="B430" t="s">
        <v>417</v>
      </c>
      <c r="C430" t="s">
        <v>605</v>
      </c>
      <c r="D430" t="s">
        <v>390</v>
      </c>
      <c r="E430">
        <v>514</v>
      </c>
      <c r="F430">
        <v>317</v>
      </c>
      <c r="G430">
        <v>157.29</v>
      </c>
      <c r="L430">
        <v>52</v>
      </c>
      <c r="M430">
        <v>350</v>
      </c>
      <c r="N430">
        <v>86</v>
      </c>
      <c r="O430">
        <v>23</v>
      </c>
      <c r="P430">
        <v>3</v>
      </c>
    </row>
    <row r="431" spans="1:16" x14ac:dyDescent="0.2">
      <c r="A431" t="s">
        <v>341</v>
      </c>
      <c r="B431" t="s">
        <v>346</v>
      </c>
      <c r="C431" t="s">
        <v>605</v>
      </c>
      <c r="D431" t="s">
        <v>390</v>
      </c>
      <c r="E431">
        <v>514</v>
      </c>
      <c r="F431">
        <v>317</v>
      </c>
      <c r="G431">
        <v>157.29</v>
      </c>
      <c r="L431">
        <v>52</v>
      </c>
      <c r="M431">
        <v>350</v>
      </c>
      <c r="N431">
        <v>86</v>
      </c>
      <c r="O431">
        <v>23</v>
      </c>
      <c r="P431">
        <v>3</v>
      </c>
    </row>
    <row r="432" spans="1:16" x14ac:dyDescent="0.2">
      <c r="A432" t="s">
        <v>341</v>
      </c>
      <c r="B432" t="s">
        <v>417</v>
      </c>
      <c r="C432" t="s">
        <v>606</v>
      </c>
      <c r="D432" t="s">
        <v>390</v>
      </c>
      <c r="E432">
        <v>2279</v>
      </c>
      <c r="F432">
        <v>748</v>
      </c>
      <c r="G432">
        <v>115.38</v>
      </c>
      <c r="L432">
        <v>68</v>
      </c>
      <c r="M432">
        <v>1818</v>
      </c>
      <c r="N432">
        <v>393</v>
      </c>
    </row>
    <row r="433" spans="1:16" x14ac:dyDescent="0.2">
      <c r="A433" t="s">
        <v>341</v>
      </c>
      <c r="B433" t="s">
        <v>346</v>
      </c>
      <c r="C433" t="s">
        <v>606</v>
      </c>
      <c r="D433" t="s">
        <v>390</v>
      </c>
      <c r="E433">
        <v>2119</v>
      </c>
      <c r="F433">
        <v>703</v>
      </c>
      <c r="G433">
        <v>116.62</v>
      </c>
      <c r="L433">
        <v>18</v>
      </c>
      <c r="M433">
        <v>1709</v>
      </c>
      <c r="N433">
        <v>392</v>
      </c>
    </row>
    <row r="434" spans="1:16" x14ac:dyDescent="0.2">
      <c r="A434" t="s">
        <v>341</v>
      </c>
      <c r="B434" t="s">
        <v>347</v>
      </c>
      <c r="C434" t="s">
        <v>606</v>
      </c>
      <c r="D434" t="s">
        <v>390</v>
      </c>
      <c r="E434">
        <v>156</v>
      </c>
      <c r="F434">
        <v>43</v>
      </c>
      <c r="G434">
        <v>96.71</v>
      </c>
      <c r="L434">
        <v>50</v>
      </c>
      <c r="M434">
        <v>105</v>
      </c>
      <c r="N434">
        <v>1</v>
      </c>
    </row>
    <row r="435" spans="1:16" x14ac:dyDescent="0.2">
      <c r="A435" t="s">
        <v>341</v>
      </c>
      <c r="B435" t="s">
        <v>348</v>
      </c>
      <c r="C435" t="s">
        <v>606</v>
      </c>
      <c r="D435" t="s">
        <v>390</v>
      </c>
      <c r="E435">
        <v>4</v>
      </c>
      <c r="F435">
        <v>2</v>
      </c>
      <c r="G435">
        <v>186.5</v>
      </c>
      <c r="M435">
        <v>4</v>
      </c>
    </row>
    <row r="436" spans="1:16" x14ac:dyDescent="0.2">
      <c r="A436" t="s">
        <v>341</v>
      </c>
      <c r="B436" t="s">
        <v>417</v>
      </c>
      <c r="C436" t="s">
        <v>607</v>
      </c>
      <c r="D436" t="s">
        <v>390</v>
      </c>
      <c r="E436">
        <v>181</v>
      </c>
      <c r="F436">
        <v>60</v>
      </c>
      <c r="G436">
        <v>116.6</v>
      </c>
      <c r="L436">
        <v>18</v>
      </c>
      <c r="M436">
        <v>87</v>
      </c>
      <c r="N436">
        <v>30</v>
      </c>
      <c r="O436">
        <v>39</v>
      </c>
      <c r="P436">
        <v>7</v>
      </c>
    </row>
    <row r="437" spans="1:16" x14ac:dyDescent="0.2">
      <c r="A437" t="s">
        <v>341</v>
      </c>
      <c r="B437" t="s">
        <v>346</v>
      </c>
      <c r="C437" t="s">
        <v>607</v>
      </c>
      <c r="D437" t="s">
        <v>390</v>
      </c>
      <c r="E437">
        <v>167</v>
      </c>
      <c r="F437">
        <v>53</v>
      </c>
      <c r="G437">
        <v>116.01</v>
      </c>
      <c r="L437">
        <v>15</v>
      </c>
      <c r="M437">
        <v>83</v>
      </c>
      <c r="N437">
        <v>30</v>
      </c>
      <c r="O437">
        <v>32</v>
      </c>
      <c r="P437">
        <v>7</v>
      </c>
    </row>
    <row r="438" spans="1:16" x14ac:dyDescent="0.2">
      <c r="A438" t="s">
        <v>341</v>
      </c>
      <c r="B438" t="s">
        <v>347</v>
      </c>
      <c r="C438" t="s">
        <v>607</v>
      </c>
      <c r="D438" t="s">
        <v>390</v>
      </c>
      <c r="E438">
        <v>14</v>
      </c>
      <c r="F438">
        <v>7</v>
      </c>
      <c r="G438">
        <v>123.64</v>
      </c>
      <c r="L438">
        <v>3</v>
      </c>
      <c r="M438">
        <v>4</v>
      </c>
      <c r="O438">
        <v>7</v>
      </c>
    </row>
    <row r="439" spans="1:16" x14ac:dyDescent="0.2">
      <c r="A439" t="s">
        <v>341</v>
      </c>
      <c r="B439" t="s">
        <v>417</v>
      </c>
      <c r="C439" t="s">
        <v>608</v>
      </c>
      <c r="D439" t="s">
        <v>390</v>
      </c>
      <c r="E439">
        <v>58</v>
      </c>
      <c r="F439">
        <v>3</v>
      </c>
      <c r="G439">
        <v>55.98</v>
      </c>
      <c r="L439">
        <v>24</v>
      </c>
      <c r="M439">
        <v>22</v>
      </c>
      <c r="N439">
        <v>7</v>
      </c>
      <c r="O439">
        <v>3</v>
      </c>
      <c r="P439">
        <v>2</v>
      </c>
    </row>
    <row r="440" spans="1:16" x14ac:dyDescent="0.2">
      <c r="A440" t="s">
        <v>341</v>
      </c>
      <c r="B440" t="s">
        <v>346</v>
      </c>
      <c r="C440" t="s">
        <v>608</v>
      </c>
      <c r="D440" t="s">
        <v>390</v>
      </c>
      <c r="E440">
        <v>58</v>
      </c>
      <c r="F440">
        <v>3</v>
      </c>
      <c r="G440">
        <v>55.98</v>
      </c>
      <c r="L440">
        <v>24</v>
      </c>
      <c r="M440">
        <v>22</v>
      </c>
      <c r="N440">
        <v>7</v>
      </c>
      <c r="O440">
        <v>3</v>
      </c>
      <c r="P440">
        <v>2</v>
      </c>
    </row>
    <row r="441" spans="1:16" x14ac:dyDescent="0.2">
      <c r="A441" t="s">
        <v>341</v>
      </c>
      <c r="B441" t="s">
        <v>417</v>
      </c>
      <c r="C441" t="s">
        <v>609</v>
      </c>
      <c r="D441" t="s">
        <v>390</v>
      </c>
      <c r="E441">
        <v>583</v>
      </c>
      <c r="F441">
        <v>118</v>
      </c>
      <c r="G441">
        <v>89.93</v>
      </c>
      <c r="L441">
        <v>17</v>
      </c>
      <c r="M441">
        <v>420</v>
      </c>
      <c r="N441">
        <v>135</v>
      </c>
      <c r="O441">
        <v>11</v>
      </c>
    </row>
    <row r="442" spans="1:16" x14ac:dyDescent="0.2">
      <c r="A442" t="s">
        <v>341</v>
      </c>
      <c r="B442" t="s">
        <v>346</v>
      </c>
      <c r="C442" t="s">
        <v>609</v>
      </c>
      <c r="D442" t="s">
        <v>390</v>
      </c>
      <c r="E442">
        <v>535</v>
      </c>
      <c r="F442">
        <v>108</v>
      </c>
      <c r="G442">
        <v>89.5</v>
      </c>
      <c r="L442">
        <v>5</v>
      </c>
      <c r="M442">
        <v>393</v>
      </c>
      <c r="N442">
        <v>135</v>
      </c>
      <c r="O442">
        <v>2</v>
      </c>
    </row>
    <row r="443" spans="1:16" x14ac:dyDescent="0.2">
      <c r="A443" t="s">
        <v>341</v>
      </c>
      <c r="B443" t="s">
        <v>347</v>
      </c>
      <c r="C443" t="s">
        <v>609</v>
      </c>
      <c r="D443" t="s">
        <v>390</v>
      </c>
      <c r="E443">
        <v>48</v>
      </c>
      <c r="F443">
        <v>10</v>
      </c>
      <c r="G443">
        <v>94.71</v>
      </c>
      <c r="L443">
        <v>12</v>
      </c>
      <c r="M443">
        <v>27</v>
      </c>
      <c r="O443">
        <v>9</v>
      </c>
    </row>
    <row r="444" spans="1:16" x14ac:dyDescent="0.2">
      <c r="A444" t="s">
        <v>341</v>
      </c>
      <c r="B444" t="s">
        <v>417</v>
      </c>
      <c r="C444" t="s">
        <v>610</v>
      </c>
      <c r="D444" t="s">
        <v>390</v>
      </c>
      <c r="E444">
        <v>2690</v>
      </c>
      <c r="F444">
        <v>878</v>
      </c>
      <c r="G444">
        <v>115.78</v>
      </c>
      <c r="L444">
        <v>398</v>
      </c>
      <c r="M444">
        <v>1476</v>
      </c>
      <c r="N444">
        <v>328</v>
      </c>
      <c r="O444">
        <v>399</v>
      </c>
      <c r="P444">
        <v>89</v>
      </c>
    </row>
    <row r="445" spans="1:16" x14ac:dyDescent="0.2">
      <c r="A445" t="s">
        <v>341</v>
      </c>
      <c r="B445" t="s">
        <v>346</v>
      </c>
      <c r="C445" t="s">
        <v>610</v>
      </c>
      <c r="D445" t="s">
        <v>390</v>
      </c>
      <c r="E445">
        <v>2505</v>
      </c>
      <c r="F445">
        <v>800</v>
      </c>
      <c r="G445">
        <v>115.68</v>
      </c>
      <c r="L445">
        <v>341</v>
      </c>
      <c r="M445">
        <v>1433</v>
      </c>
      <c r="N445">
        <v>326</v>
      </c>
      <c r="O445">
        <v>328</v>
      </c>
      <c r="P445">
        <v>77</v>
      </c>
    </row>
    <row r="446" spans="1:16" x14ac:dyDescent="0.2">
      <c r="A446" t="s">
        <v>341</v>
      </c>
      <c r="B446" t="s">
        <v>347</v>
      </c>
      <c r="C446" t="s">
        <v>610</v>
      </c>
      <c r="D446" t="s">
        <v>390</v>
      </c>
      <c r="E446">
        <v>180</v>
      </c>
      <c r="F446">
        <v>78</v>
      </c>
      <c r="G446">
        <v>118.71</v>
      </c>
      <c r="L446">
        <v>55</v>
      </c>
      <c r="M446">
        <v>41</v>
      </c>
      <c r="N446">
        <v>2</v>
      </c>
      <c r="O446">
        <v>71</v>
      </c>
      <c r="P446">
        <v>11</v>
      </c>
    </row>
    <row r="447" spans="1:16" x14ac:dyDescent="0.2">
      <c r="A447" t="s">
        <v>341</v>
      </c>
      <c r="B447" t="s">
        <v>348</v>
      </c>
      <c r="C447" t="s">
        <v>610</v>
      </c>
      <c r="D447" t="s">
        <v>390</v>
      </c>
      <c r="E447">
        <v>5</v>
      </c>
      <c r="G447">
        <v>58.6</v>
      </c>
      <c r="L447">
        <v>2</v>
      </c>
      <c r="M447">
        <v>2</v>
      </c>
      <c r="P447">
        <v>1</v>
      </c>
    </row>
    <row r="448" spans="1:16" x14ac:dyDescent="0.2">
      <c r="A448" t="s">
        <v>341</v>
      </c>
      <c r="B448" t="s">
        <v>417</v>
      </c>
      <c r="C448" t="s">
        <v>611</v>
      </c>
      <c r="D448" t="s">
        <v>390</v>
      </c>
      <c r="E448">
        <v>427</v>
      </c>
      <c r="F448">
        <v>66</v>
      </c>
      <c r="G448">
        <v>92.18</v>
      </c>
      <c r="L448">
        <v>77</v>
      </c>
      <c r="M448">
        <v>279</v>
      </c>
      <c r="N448">
        <v>52</v>
      </c>
      <c r="O448">
        <v>17</v>
      </c>
      <c r="P448">
        <v>2</v>
      </c>
    </row>
    <row r="449" spans="1:16" x14ac:dyDescent="0.2">
      <c r="A449" t="s">
        <v>341</v>
      </c>
      <c r="B449" t="s">
        <v>346</v>
      </c>
      <c r="C449" t="s">
        <v>611</v>
      </c>
      <c r="D449" t="s">
        <v>390</v>
      </c>
      <c r="E449">
        <v>427</v>
      </c>
      <c r="F449">
        <v>66</v>
      </c>
      <c r="G449">
        <v>92.18</v>
      </c>
      <c r="L449">
        <v>77</v>
      </c>
      <c r="M449">
        <v>279</v>
      </c>
      <c r="N449">
        <v>52</v>
      </c>
      <c r="O449">
        <v>17</v>
      </c>
      <c r="P449">
        <v>2</v>
      </c>
    </row>
    <row r="450" spans="1:16" x14ac:dyDescent="0.2">
      <c r="A450" t="s">
        <v>341</v>
      </c>
      <c r="B450" t="s">
        <v>417</v>
      </c>
      <c r="C450" t="s">
        <v>612</v>
      </c>
      <c r="D450" t="s">
        <v>390</v>
      </c>
      <c r="E450">
        <v>6631</v>
      </c>
      <c r="F450">
        <v>1222</v>
      </c>
      <c r="G450">
        <v>88.94</v>
      </c>
      <c r="L450">
        <v>200</v>
      </c>
      <c r="M450">
        <v>4383</v>
      </c>
      <c r="N450">
        <v>1927</v>
      </c>
      <c r="O450">
        <v>121</v>
      </c>
    </row>
    <row r="451" spans="1:16" x14ac:dyDescent="0.2">
      <c r="A451" t="s">
        <v>341</v>
      </c>
      <c r="B451" t="s">
        <v>346</v>
      </c>
      <c r="C451" t="s">
        <v>612</v>
      </c>
      <c r="D451" t="s">
        <v>390</v>
      </c>
      <c r="E451">
        <v>6092</v>
      </c>
      <c r="F451">
        <v>1113</v>
      </c>
      <c r="G451">
        <v>88.75</v>
      </c>
      <c r="L451">
        <v>58</v>
      </c>
      <c r="M451">
        <v>4090</v>
      </c>
      <c r="N451">
        <v>1922</v>
      </c>
      <c r="O451">
        <v>22</v>
      </c>
    </row>
    <row r="452" spans="1:16" x14ac:dyDescent="0.2">
      <c r="A452" t="s">
        <v>341</v>
      </c>
      <c r="B452" t="s">
        <v>347</v>
      </c>
      <c r="C452" t="s">
        <v>612</v>
      </c>
      <c r="D452" t="s">
        <v>390</v>
      </c>
      <c r="E452">
        <v>530</v>
      </c>
      <c r="F452">
        <v>108</v>
      </c>
      <c r="G452">
        <v>91.24</v>
      </c>
      <c r="L452">
        <v>142</v>
      </c>
      <c r="M452">
        <v>287</v>
      </c>
      <c r="N452">
        <v>2</v>
      </c>
      <c r="O452">
        <v>99</v>
      </c>
    </row>
    <row r="453" spans="1:16" x14ac:dyDescent="0.2">
      <c r="A453" t="s">
        <v>341</v>
      </c>
      <c r="B453" t="s">
        <v>348</v>
      </c>
      <c r="C453" t="s">
        <v>612</v>
      </c>
      <c r="D453" t="s">
        <v>390</v>
      </c>
      <c r="E453">
        <v>9</v>
      </c>
      <c r="F453">
        <v>1</v>
      </c>
      <c r="G453">
        <v>84</v>
      </c>
      <c r="M453">
        <v>6</v>
      </c>
      <c r="N453">
        <v>3</v>
      </c>
    </row>
    <row r="454" spans="1:16" x14ac:dyDescent="0.2">
      <c r="A454" t="s">
        <v>341</v>
      </c>
      <c r="B454" t="s">
        <v>417</v>
      </c>
      <c r="C454" t="s">
        <v>613</v>
      </c>
      <c r="D454" t="s">
        <v>390</v>
      </c>
      <c r="E454">
        <v>190</v>
      </c>
      <c r="F454">
        <v>95</v>
      </c>
      <c r="G454">
        <v>147.94999999999999</v>
      </c>
      <c r="L454">
        <v>26</v>
      </c>
      <c r="M454">
        <v>83</v>
      </c>
      <c r="N454">
        <v>33</v>
      </c>
      <c r="O454">
        <v>34</v>
      </c>
      <c r="P454">
        <v>14</v>
      </c>
    </row>
    <row r="455" spans="1:16" x14ac:dyDescent="0.2">
      <c r="A455" t="s">
        <v>341</v>
      </c>
      <c r="B455" t="s">
        <v>346</v>
      </c>
      <c r="C455" t="s">
        <v>613</v>
      </c>
      <c r="D455" t="s">
        <v>390</v>
      </c>
      <c r="E455">
        <v>178</v>
      </c>
      <c r="F455">
        <v>91</v>
      </c>
      <c r="G455">
        <v>149.62</v>
      </c>
      <c r="L455">
        <v>23</v>
      </c>
      <c r="M455">
        <v>81</v>
      </c>
      <c r="N455">
        <v>33</v>
      </c>
      <c r="O455">
        <v>31</v>
      </c>
      <c r="P455">
        <v>10</v>
      </c>
    </row>
    <row r="456" spans="1:16" x14ac:dyDescent="0.2">
      <c r="A456" t="s">
        <v>341</v>
      </c>
      <c r="B456" t="s">
        <v>347</v>
      </c>
      <c r="C456" t="s">
        <v>613</v>
      </c>
      <c r="D456" t="s">
        <v>390</v>
      </c>
      <c r="E456">
        <v>12</v>
      </c>
      <c r="F456">
        <v>4</v>
      </c>
      <c r="G456">
        <v>123.25</v>
      </c>
      <c r="L456">
        <v>3</v>
      </c>
      <c r="M456">
        <v>2</v>
      </c>
      <c r="O456">
        <v>3</v>
      </c>
      <c r="P456">
        <v>4</v>
      </c>
    </row>
    <row r="457" spans="1:16" x14ac:dyDescent="0.2">
      <c r="A457" t="s">
        <v>341</v>
      </c>
      <c r="B457" t="s">
        <v>417</v>
      </c>
      <c r="C457" t="s">
        <v>614</v>
      </c>
      <c r="D457" t="s">
        <v>390</v>
      </c>
      <c r="E457">
        <v>163</v>
      </c>
      <c r="F457">
        <v>6</v>
      </c>
      <c r="G457">
        <v>63.36</v>
      </c>
      <c r="L457">
        <v>28</v>
      </c>
      <c r="M457">
        <v>121</v>
      </c>
      <c r="N457">
        <v>10</v>
      </c>
      <c r="O457">
        <v>3</v>
      </c>
      <c r="P457">
        <v>1</v>
      </c>
    </row>
    <row r="458" spans="1:16" x14ac:dyDescent="0.2">
      <c r="A458" t="s">
        <v>341</v>
      </c>
      <c r="B458" t="s">
        <v>346</v>
      </c>
      <c r="C458" t="s">
        <v>614</v>
      </c>
      <c r="D458" t="s">
        <v>390</v>
      </c>
      <c r="E458">
        <v>163</v>
      </c>
      <c r="F458">
        <v>6</v>
      </c>
      <c r="G458">
        <v>63.36</v>
      </c>
      <c r="L458">
        <v>28</v>
      </c>
      <c r="M458">
        <v>121</v>
      </c>
      <c r="N458">
        <v>10</v>
      </c>
      <c r="O458">
        <v>3</v>
      </c>
      <c r="P458">
        <v>1</v>
      </c>
    </row>
    <row r="459" spans="1:16" x14ac:dyDescent="0.2">
      <c r="A459" t="s">
        <v>341</v>
      </c>
      <c r="B459" t="s">
        <v>417</v>
      </c>
      <c r="C459" t="s">
        <v>615</v>
      </c>
      <c r="D459" t="s">
        <v>390</v>
      </c>
      <c r="E459">
        <v>784</v>
      </c>
      <c r="F459">
        <v>111</v>
      </c>
      <c r="G459">
        <v>78.09</v>
      </c>
      <c r="L459">
        <v>10</v>
      </c>
      <c r="M459">
        <v>544</v>
      </c>
      <c r="N459">
        <v>218</v>
      </c>
      <c r="O459">
        <v>12</v>
      </c>
    </row>
    <row r="460" spans="1:16" x14ac:dyDescent="0.2">
      <c r="A460" t="s">
        <v>341</v>
      </c>
      <c r="B460" t="s">
        <v>346</v>
      </c>
      <c r="C460" t="s">
        <v>615</v>
      </c>
      <c r="D460" t="s">
        <v>390</v>
      </c>
      <c r="E460">
        <v>733</v>
      </c>
      <c r="F460">
        <v>99</v>
      </c>
      <c r="G460">
        <v>76.84</v>
      </c>
      <c r="L460">
        <v>2</v>
      </c>
      <c r="M460">
        <v>512</v>
      </c>
      <c r="N460">
        <v>218</v>
      </c>
      <c r="O460">
        <v>1</v>
      </c>
    </row>
    <row r="461" spans="1:16" x14ac:dyDescent="0.2">
      <c r="A461" t="s">
        <v>341</v>
      </c>
      <c r="B461" t="s">
        <v>347</v>
      </c>
      <c r="C461" t="s">
        <v>615</v>
      </c>
      <c r="D461" t="s">
        <v>390</v>
      </c>
      <c r="E461">
        <v>51</v>
      </c>
      <c r="F461">
        <v>12</v>
      </c>
      <c r="G461">
        <v>96.08</v>
      </c>
      <c r="L461">
        <v>8</v>
      </c>
      <c r="M461">
        <v>32</v>
      </c>
      <c r="O461">
        <v>11</v>
      </c>
    </row>
    <row r="462" spans="1:16" x14ac:dyDescent="0.2">
      <c r="A462" t="s">
        <v>341</v>
      </c>
      <c r="B462" t="s">
        <v>417</v>
      </c>
      <c r="C462" t="s">
        <v>616</v>
      </c>
      <c r="D462" t="s">
        <v>390</v>
      </c>
      <c r="E462">
        <v>2545</v>
      </c>
      <c r="F462">
        <v>680</v>
      </c>
      <c r="G462">
        <v>99</v>
      </c>
      <c r="L462">
        <v>397</v>
      </c>
      <c r="M462">
        <v>1291</v>
      </c>
      <c r="N462">
        <v>386</v>
      </c>
      <c r="O462">
        <v>388</v>
      </c>
      <c r="P462">
        <v>83</v>
      </c>
    </row>
    <row r="463" spans="1:16" x14ac:dyDescent="0.2">
      <c r="A463" t="s">
        <v>341</v>
      </c>
      <c r="B463" t="s">
        <v>346</v>
      </c>
      <c r="C463" t="s">
        <v>616</v>
      </c>
      <c r="D463" t="s">
        <v>390</v>
      </c>
      <c r="E463">
        <v>2409</v>
      </c>
      <c r="F463">
        <v>633</v>
      </c>
      <c r="G463">
        <v>99.12</v>
      </c>
      <c r="L463">
        <v>343</v>
      </c>
      <c r="M463">
        <v>1260</v>
      </c>
      <c r="N463">
        <v>385</v>
      </c>
      <c r="O463">
        <v>345</v>
      </c>
      <c r="P463">
        <v>76</v>
      </c>
    </row>
    <row r="464" spans="1:16" x14ac:dyDescent="0.2">
      <c r="A464" t="s">
        <v>341</v>
      </c>
      <c r="B464" t="s">
        <v>347</v>
      </c>
      <c r="C464" t="s">
        <v>616</v>
      </c>
      <c r="D464" t="s">
        <v>390</v>
      </c>
      <c r="E464">
        <v>134</v>
      </c>
      <c r="F464">
        <v>47</v>
      </c>
      <c r="G464">
        <v>97.82</v>
      </c>
      <c r="L464">
        <v>53</v>
      </c>
      <c r="M464">
        <v>30</v>
      </c>
      <c r="N464">
        <v>1</v>
      </c>
      <c r="O464">
        <v>43</v>
      </c>
      <c r="P464">
        <v>7</v>
      </c>
    </row>
    <row r="465" spans="1:16" x14ac:dyDescent="0.2">
      <c r="A465" t="s">
        <v>341</v>
      </c>
      <c r="B465" t="s">
        <v>348</v>
      </c>
      <c r="C465" t="s">
        <v>616</v>
      </c>
      <c r="D465" t="s">
        <v>390</v>
      </c>
      <c r="E465">
        <v>2</v>
      </c>
      <c r="G465">
        <v>36.5</v>
      </c>
      <c r="L465">
        <v>1</v>
      </c>
      <c r="M465">
        <v>1</v>
      </c>
    </row>
    <row r="466" spans="1:16" x14ac:dyDescent="0.2">
      <c r="A466" t="s">
        <v>341</v>
      </c>
      <c r="B466" t="s">
        <v>417</v>
      </c>
      <c r="C466" t="s">
        <v>617</v>
      </c>
      <c r="D466" t="s">
        <v>390</v>
      </c>
      <c r="E466">
        <v>462</v>
      </c>
      <c r="F466">
        <v>92</v>
      </c>
      <c r="G466">
        <v>91.25</v>
      </c>
      <c r="L466">
        <v>89</v>
      </c>
      <c r="M466">
        <v>283</v>
      </c>
      <c r="N466">
        <v>58</v>
      </c>
      <c r="O466">
        <v>28</v>
      </c>
      <c r="P466">
        <v>4</v>
      </c>
    </row>
    <row r="467" spans="1:16" x14ac:dyDescent="0.2">
      <c r="A467" t="s">
        <v>341</v>
      </c>
      <c r="B467" t="s">
        <v>346</v>
      </c>
      <c r="C467" t="s">
        <v>617</v>
      </c>
      <c r="D467" t="s">
        <v>390</v>
      </c>
      <c r="E467">
        <v>461</v>
      </c>
      <c r="F467">
        <v>92</v>
      </c>
      <c r="G467">
        <v>91.23</v>
      </c>
      <c r="L467">
        <v>89</v>
      </c>
      <c r="M467">
        <v>282</v>
      </c>
      <c r="N467">
        <v>58</v>
      </c>
      <c r="O467">
        <v>28</v>
      </c>
      <c r="P467">
        <v>4</v>
      </c>
    </row>
    <row r="468" spans="1:16" x14ac:dyDescent="0.2">
      <c r="A468" t="s">
        <v>341</v>
      </c>
      <c r="B468" t="s">
        <v>348</v>
      </c>
      <c r="C468" t="s">
        <v>617</v>
      </c>
      <c r="D468" t="s">
        <v>390</v>
      </c>
      <c r="E468">
        <v>1</v>
      </c>
      <c r="G468">
        <v>103</v>
      </c>
      <c r="M468">
        <v>1</v>
      </c>
    </row>
    <row r="469" spans="1:16" x14ac:dyDescent="0.2">
      <c r="A469" t="s">
        <v>341</v>
      </c>
      <c r="B469" t="s">
        <v>417</v>
      </c>
      <c r="C469" t="s">
        <v>618</v>
      </c>
      <c r="D469" t="s">
        <v>390</v>
      </c>
      <c r="E469">
        <v>7418</v>
      </c>
      <c r="F469">
        <v>1213</v>
      </c>
      <c r="G469">
        <v>83.61</v>
      </c>
      <c r="L469">
        <v>282</v>
      </c>
      <c r="M469">
        <v>4953</v>
      </c>
      <c r="N469">
        <v>2025</v>
      </c>
      <c r="O469">
        <v>158</v>
      </c>
    </row>
    <row r="470" spans="1:16" x14ac:dyDescent="0.2">
      <c r="A470" t="s">
        <v>341</v>
      </c>
      <c r="B470" t="s">
        <v>346</v>
      </c>
      <c r="C470" t="s">
        <v>618</v>
      </c>
      <c r="D470" t="s">
        <v>390</v>
      </c>
      <c r="E470">
        <v>6768</v>
      </c>
      <c r="F470">
        <v>1138</v>
      </c>
      <c r="G470">
        <v>84.1</v>
      </c>
      <c r="L470">
        <v>76</v>
      </c>
      <c r="M470">
        <v>4649</v>
      </c>
      <c r="N470">
        <v>2018</v>
      </c>
      <c r="O470">
        <v>25</v>
      </c>
    </row>
    <row r="471" spans="1:16" x14ac:dyDescent="0.2">
      <c r="A471" t="s">
        <v>341</v>
      </c>
      <c r="B471" t="s">
        <v>347</v>
      </c>
      <c r="C471" t="s">
        <v>618</v>
      </c>
      <c r="D471" t="s">
        <v>390</v>
      </c>
      <c r="E471">
        <v>641</v>
      </c>
      <c r="F471">
        <v>74</v>
      </c>
      <c r="G471">
        <v>78.599999999999994</v>
      </c>
      <c r="L471">
        <v>206</v>
      </c>
      <c r="M471">
        <v>296</v>
      </c>
      <c r="N471">
        <v>6</v>
      </c>
      <c r="O471">
        <v>133</v>
      </c>
    </row>
    <row r="472" spans="1:16" x14ac:dyDescent="0.2">
      <c r="A472" t="s">
        <v>341</v>
      </c>
      <c r="B472" t="s">
        <v>348</v>
      </c>
      <c r="C472" t="s">
        <v>618</v>
      </c>
      <c r="D472" t="s">
        <v>390</v>
      </c>
      <c r="E472">
        <v>9</v>
      </c>
      <c r="F472">
        <v>1</v>
      </c>
      <c r="G472">
        <v>78</v>
      </c>
      <c r="M472">
        <v>8</v>
      </c>
      <c r="N472">
        <v>1</v>
      </c>
    </row>
    <row r="473" spans="1:16" x14ac:dyDescent="0.2">
      <c r="A473" t="s">
        <v>341</v>
      </c>
      <c r="B473" t="s">
        <v>417</v>
      </c>
      <c r="C473" t="s">
        <v>619</v>
      </c>
      <c r="D473" t="s">
        <v>390</v>
      </c>
      <c r="E473">
        <v>10046</v>
      </c>
      <c r="F473">
        <v>2907</v>
      </c>
      <c r="G473">
        <v>105.56</v>
      </c>
      <c r="L473">
        <v>1270</v>
      </c>
      <c r="M473">
        <v>5309</v>
      </c>
      <c r="N473">
        <v>1618</v>
      </c>
      <c r="O473">
        <v>1493</v>
      </c>
      <c r="P473">
        <v>356</v>
      </c>
    </row>
    <row r="474" spans="1:16" x14ac:dyDescent="0.2">
      <c r="A474" t="s">
        <v>341</v>
      </c>
      <c r="B474" t="s">
        <v>346</v>
      </c>
      <c r="C474" t="s">
        <v>619</v>
      </c>
      <c r="D474" t="s">
        <v>390</v>
      </c>
      <c r="E474">
        <v>9515</v>
      </c>
      <c r="F474">
        <v>2653</v>
      </c>
      <c r="G474">
        <v>104.64</v>
      </c>
      <c r="L474">
        <v>1115</v>
      </c>
      <c r="M474">
        <v>5176</v>
      </c>
      <c r="N474">
        <v>1608</v>
      </c>
      <c r="O474">
        <v>1304</v>
      </c>
      <c r="P474">
        <v>312</v>
      </c>
    </row>
    <row r="475" spans="1:16" x14ac:dyDescent="0.2">
      <c r="A475" t="s">
        <v>341</v>
      </c>
      <c r="B475" t="s">
        <v>347</v>
      </c>
      <c r="C475" t="s">
        <v>619</v>
      </c>
      <c r="D475" t="s">
        <v>390</v>
      </c>
      <c r="E475">
        <v>518</v>
      </c>
      <c r="F475">
        <v>250</v>
      </c>
      <c r="G475">
        <v>122.27</v>
      </c>
      <c r="L475">
        <v>152</v>
      </c>
      <c r="M475">
        <v>128</v>
      </c>
      <c r="N475">
        <v>8</v>
      </c>
      <c r="O475">
        <v>186</v>
      </c>
      <c r="P475">
        <v>44</v>
      </c>
    </row>
    <row r="476" spans="1:16" x14ac:dyDescent="0.2">
      <c r="A476" t="s">
        <v>341</v>
      </c>
      <c r="B476" t="s">
        <v>348</v>
      </c>
      <c r="C476" t="s">
        <v>619</v>
      </c>
      <c r="D476" t="s">
        <v>390</v>
      </c>
      <c r="E476">
        <v>13</v>
      </c>
      <c r="F476">
        <v>4</v>
      </c>
      <c r="G476">
        <v>107.77</v>
      </c>
      <c r="L476">
        <v>3</v>
      </c>
      <c r="M476">
        <v>5</v>
      </c>
      <c r="N476">
        <v>2</v>
      </c>
      <c r="O476">
        <v>3</v>
      </c>
    </row>
    <row r="477" spans="1:16" x14ac:dyDescent="0.2">
      <c r="A477" t="s">
        <v>341</v>
      </c>
      <c r="B477" t="s">
        <v>417</v>
      </c>
      <c r="C477" t="s">
        <v>620</v>
      </c>
      <c r="D477" t="s">
        <v>390</v>
      </c>
      <c r="E477">
        <v>1661</v>
      </c>
      <c r="F477">
        <v>297</v>
      </c>
      <c r="G477">
        <v>86.41</v>
      </c>
      <c r="L477">
        <v>348</v>
      </c>
      <c r="M477">
        <v>1143</v>
      </c>
      <c r="N477">
        <v>128</v>
      </c>
      <c r="O477">
        <v>32</v>
      </c>
      <c r="P477">
        <v>10</v>
      </c>
    </row>
    <row r="478" spans="1:16" x14ac:dyDescent="0.2">
      <c r="A478" t="s">
        <v>341</v>
      </c>
      <c r="B478" t="s">
        <v>346</v>
      </c>
      <c r="C478" t="s">
        <v>620</v>
      </c>
      <c r="D478" t="s">
        <v>390</v>
      </c>
      <c r="E478">
        <v>1659</v>
      </c>
      <c r="F478">
        <v>297</v>
      </c>
      <c r="G478">
        <v>86.46</v>
      </c>
      <c r="L478">
        <v>347</v>
      </c>
      <c r="M478">
        <v>1142</v>
      </c>
      <c r="N478">
        <v>128</v>
      </c>
      <c r="O478">
        <v>32</v>
      </c>
      <c r="P478">
        <v>10</v>
      </c>
    </row>
    <row r="479" spans="1:16" x14ac:dyDescent="0.2">
      <c r="A479" t="s">
        <v>341</v>
      </c>
      <c r="B479" t="s">
        <v>348</v>
      </c>
      <c r="C479" t="s">
        <v>620</v>
      </c>
      <c r="D479" t="s">
        <v>390</v>
      </c>
      <c r="E479">
        <v>2</v>
      </c>
      <c r="G479">
        <v>40.5</v>
      </c>
      <c r="L479">
        <v>1</v>
      </c>
      <c r="M479">
        <v>1</v>
      </c>
    </row>
    <row r="480" spans="1:16" x14ac:dyDescent="0.2">
      <c r="A480" t="s">
        <v>341</v>
      </c>
      <c r="B480" t="s">
        <v>417</v>
      </c>
      <c r="C480" t="s">
        <v>621</v>
      </c>
      <c r="D480" t="s">
        <v>390</v>
      </c>
      <c r="E480">
        <v>1316</v>
      </c>
      <c r="F480">
        <v>226</v>
      </c>
      <c r="G480">
        <v>85.21</v>
      </c>
      <c r="L480">
        <v>330</v>
      </c>
      <c r="M480">
        <v>779</v>
      </c>
      <c r="N480">
        <v>100</v>
      </c>
      <c r="O480">
        <v>98</v>
      </c>
      <c r="P480">
        <v>9</v>
      </c>
    </row>
    <row r="481" spans="1:16" x14ac:dyDescent="0.2">
      <c r="A481" t="s">
        <v>341</v>
      </c>
      <c r="B481" t="s">
        <v>346</v>
      </c>
      <c r="C481" t="s">
        <v>621</v>
      </c>
      <c r="D481" t="s">
        <v>390</v>
      </c>
      <c r="E481">
        <v>1314</v>
      </c>
      <c r="F481">
        <v>226</v>
      </c>
      <c r="G481">
        <v>85.25</v>
      </c>
      <c r="L481">
        <v>330</v>
      </c>
      <c r="M481">
        <v>777</v>
      </c>
      <c r="N481">
        <v>100</v>
      </c>
      <c r="O481">
        <v>98</v>
      </c>
      <c r="P481">
        <v>9</v>
      </c>
    </row>
    <row r="482" spans="1:16" x14ac:dyDescent="0.2">
      <c r="A482" t="s">
        <v>341</v>
      </c>
      <c r="B482" t="s">
        <v>347</v>
      </c>
      <c r="C482" t="s">
        <v>621</v>
      </c>
      <c r="D482" t="s">
        <v>390</v>
      </c>
      <c r="E482">
        <v>1</v>
      </c>
      <c r="G482">
        <v>22</v>
      </c>
      <c r="M482">
        <v>1</v>
      </c>
    </row>
    <row r="483" spans="1:16" x14ac:dyDescent="0.2">
      <c r="A483" t="s">
        <v>341</v>
      </c>
      <c r="B483" t="s">
        <v>348</v>
      </c>
      <c r="C483" t="s">
        <v>621</v>
      </c>
      <c r="D483" t="s">
        <v>390</v>
      </c>
      <c r="E483">
        <v>1</v>
      </c>
      <c r="G483">
        <v>93</v>
      </c>
      <c r="M483">
        <v>1</v>
      </c>
    </row>
    <row r="484" spans="1:16" x14ac:dyDescent="0.2">
      <c r="A484" t="s">
        <v>341</v>
      </c>
      <c r="B484" t="s">
        <v>417</v>
      </c>
      <c r="C484" t="s">
        <v>622</v>
      </c>
      <c r="D484" t="s">
        <v>390</v>
      </c>
      <c r="E484">
        <v>27845</v>
      </c>
      <c r="F484">
        <v>4544</v>
      </c>
      <c r="G484">
        <v>81.8</v>
      </c>
      <c r="L484">
        <v>703</v>
      </c>
      <c r="M484">
        <v>17447</v>
      </c>
      <c r="N484">
        <v>9294</v>
      </c>
      <c r="O484">
        <v>401</v>
      </c>
    </row>
    <row r="485" spans="1:16" x14ac:dyDescent="0.2">
      <c r="A485" t="s">
        <v>341</v>
      </c>
      <c r="B485" t="s">
        <v>346</v>
      </c>
      <c r="C485" t="s">
        <v>622</v>
      </c>
      <c r="D485" t="s">
        <v>390</v>
      </c>
      <c r="E485">
        <v>26099</v>
      </c>
      <c r="F485">
        <v>4197</v>
      </c>
      <c r="G485">
        <v>81.319999999999993</v>
      </c>
      <c r="L485">
        <v>273</v>
      </c>
      <c r="M485">
        <v>16485</v>
      </c>
      <c r="N485">
        <v>9282</v>
      </c>
      <c r="O485">
        <v>59</v>
      </c>
    </row>
    <row r="486" spans="1:16" x14ac:dyDescent="0.2">
      <c r="A486" t="s">
        <v>341</v>
      </c>
      <c r="B486" t="s">
        <v>347</v>
      </c>
      <c r="C486" t="s">
        <v>622</v>
      </c>
      <c r="D486" t="s">
        <v>390</v>
      </c>
      <c r="E486">
        <v>1715</v>
      </c>
      <c r="F486">
        <v>338</v>
      </c>
      <c r="G486">
        <v>88.63</v>
      </c>
      <c r="L486">
        <v>429</v>
      </c>
      <c r="M486">
        <v>939</v>
      </c>
      <c r="N486">
        <v>5</v>
      </c>
      <c r="O486">
        <v>342</v>
      </c>
    </row>
    <row r="487" spans="1:16" x14ac:dyDescent="0.2">
      <c r="A487" t="s">
        <v>341</v>
      </c>
      <c r="B487" t="s">
        <v>348</v>
      </c>
      <c r="C487" t="s">
        <v>622</v>
      </c>
      <c r="D487" t="s">
        <v>390</v>
      </c>
      <c r="E487">
        <v>31</v>
      </c>
      <c r="F487">
        <v>9</v>
      </c>
      <c r="G487">
        <v>105.29</v>
      </c>
      <c r="L487">
        <v>1</v>
      </c>
      <c r="M487">
        <v>23</v>
      </c>
      <c r="N487">
        <v>7</v>
      </c>
    </row>
    <row r="488" spans="1:16" x14ac:dyDescent="0.2">
      <c r="A488" t="s">
        <v>341</v>
      </c>
      <c r="B488" t="s">
        <v>417</v>
      </c>
      <c r="C488" t="s">
        <v>623</v>
      </c>
      <c r="D488" t="s">
        <v>390</v>
      </c>
      <c r="E488">
        <v>524</v>
      </c>
      <c r="F488">
        <v>178</v>
      </c>
      <c r="G488">
        <v>112.17</v>
      </c>
      <c r="L488">
        <v>69</v>
      </c>
      <c r="M488">
        <v>278</v>
      </c>
      <c r="N488">
        <v>78</v>
      </c>
      <c r="O488">
        <v>85</v>
      </c>
      <c r="P488">
        <v>14</v>
      </c>
    </row>
    <row r="489" spans="1:16" x14ac:dyDescent="0.2">
      <c r="A489" t="s">
        <v>341</v>
      </c>
      <c r="B489" t="s">
        <v>346</v>
      </c>
      <c r="C489" t="s">
        <v>623</v>
      </c>
      <c r="D489" t="s">
        <v>390</v>
      </c>
      <c r="E489">
        <v>466</v>
      </c>
      <c r="F489">
        <v>154</v>
      </c>
      <c r="G489">
        <v>112.49</v>
      </c>
      <c r="L489">
        <v>49</v>
      </c>
      <c r="M489">
        <v>262</v>
      </c>
      <c r="N489">
        <v>77</v>
      </c>
      <c r="O489">
        <v>66</v>
      </c>
      <c r="P489">
        <v>12</v>
      </c>
    </row>
    <row r="490" spans="1:16" x14ac:dyDescent="0.2">
      <c r="A490" t="s">
        <v>341</v>
      </c>
      <c r="B490" t="s">
        <v>347</v>
      </c>
      <c r="C490" t="s">
        <v>623</v>
      </c>
      <c r="D490" t="s">
        <v>390</v>
      </c>
      <c r="E490">
        <v>57</v>
      </c>
      <c r="F490">
        <v>23</v>
      </c>
      <c r="G490">
        <v>108.3</v>
      </c>
      <c r="L490">
        <v>20</v>
      </c>
      <c r="M490">
        <v>16</v>
      </c>
      <c r="O490">
        <v>19</v>
      </c>
      <c r="P490">
        <v>2</v>
      </c>
    </row>
    <row r="491" spans="1:16" x14ac:dyDescent="0.2">
      <c r="A491" t="s">
        <v>341</v>
      </c>
      <c r="B491" t="s">
        <v>348</v>
      </c>
      <c r="C491" t="s">
        <v>623</v>
      </c>
      <c r="D491" t="s">
        <v>390</v>
      </c>
      <c r="E491">
        <v>1</v>
      </c>
      <c r="F491">
        <v>1</v>
      </c>
      <c r="G491">
        <v>185</v>
      </c>
      <c r="N491">
        <v>1</v>
      </c>
    </row>
    <row r="492" spans="1:16" x14ac:dyDescent="0.2">
      <c r="A492" t="s">
        <v>341</v>
      </c>
      <c r="B492" t="s">
        <v>417</v>
      </c>
      <c r="C492" t="s">
        <v>624</v>
      </c>
      <c r="D492" t="s">
        <v>390</v>
      </c>
      <c r="E492">
        <v>183</v>
      </c>
      <c r="F492">
        <v>13</v>
      </c>
      <c r="G492">
        <v>60.2</v>
      </c>
      <c r="L492">
        <v>54</v>
      </c>
      <c r="M492">
        <v>108</v>
      </c>
      <c r="N492">
        <v>13</v>
      </c>
      <c r="O492">
        <v>8</v>
      </c>
    </row>
    <row r="493" spans="1:16" x14ac:dyDescent="0.2">
      <c r="A493" t="s">
        <v>341</v>
      </c>
      <c r="B493" t="s">
        <v>346</v>
      </c>
      <c r="C493" t="s">
        <v>624</v>
      </c>
      <c r="D493" t="s">
        <v>390</v>
      </c>
      <c r="E493">
        <v>183</v>
      </c>
      <c r="F493">
        <v>13</v>
      </c>
      <c r="G493">
        <v>60.2</v>
      </c>
      <c r="L493">
        <v>54</v>
      </c>
      <c r="M493">
        <v>108</v>
      </c>
      <c r="N493">
        <v>13</v>
      </c>
      <c r="O493">
        <v>8</v>
      </c>
    </row>
    <row r="494" spans="1:16" x14ac:dyDescent="0.2">
      <c r="A494" t="s">
        <v>341</v>
      </c>
      <c r="B494" t="s">
        <v>417</v>
      </c>
      <c r="C494" t="s">
        <v>625</v>
      </c>
      <c r="D494" t="s">
        <v>390</v>
      </c>
      <c r="E494">
        <v>1608</v>
      </c>
      <c r="F494">
        <v>256</v>
      </c>
      <c r="G494">
        <v>80.62</v>
      </c>
      <c r="L494">
        <v>43</v>
      </c>
      <c r="M494">
        <v>1071</v>
      </c>
      <c r="N494">
        <v>465</v>
      </c>
      <c r="O494">
        <v>29</v>
      </c>
    </row>
    <row r="495" spans="1:16" x14ac:dyDescent="0.2">
      <c r="A495" t="s">
        <v>341</v>
      </c>
      <c r="B495" t="s">
        <v>346</v>
      </c>
      <c r="C495" t="s">
        <v>625</v>
      </c>
      <c r="D495" t="s">
        <v>390</v>
      </c>
      <c r="E495">
        <v>1463</v>
      </c>
      <c r="F495">
        <v>221</v>
      </c>
      <c r="G495">
        <v>79.27</v>
      </c>
      <c r="L495">
        <v>12</v>
      </c>
      <c r="M495">
        <v>983</v>
      </c>
      <c r="N495">
        <v>464</v>
      </c>
      <c r="O495">
        <v>4</v>
      </c>
    </row>
    <row r="496" spans="1:16" x14ac:dyDescent="0.2">
      <c r="A496" t="s">
        <v>341</v>
      </c>
      <c r="B496" t="s">
        <v>347</v>
      </c>
      <c r="C496" t="s">
        <v>625</v>
      </c>
      <c r="D496" t="s">
        <v>390</v>
      </c>
      <c r="E496">
        <v>145</v>
      </c>
      <c r="F496">
        <v>35</v>
      </c>
      <c r="G496">
        <v>94.17</v>
      </c>
      <c r="L496">
        <v>31</v>
      </c>
      <c r="M496">
        <v>88</v>
      </c>
      <c r="N496">
        <v>1</v>
      </c>
      <c r="O496">
        <v>25</v>
      </c>
    </row>
    <row r="497" spans="1:16" x14ac:dyDescent="0.2">
      <c r="A497" t="s">
        <v>341</v>
      </c>
      <c r="B497" t="s">
        <v>417</v>
      </c>
      <c r="C497" t="s">
        <v>626</v>
      </c>
      <c r="D497" t="s">
        <v>390</v>
      </c>
      <c r="E497">
        <v>3853</v>
      </c>
      <c r="F497">
        <v>1353</v>
      </c>
      <c r="G497">
        <v>119.66</v>
      </c>
      <c r="L497">
        <v>357</v>
      </c>
      <c r="M497">
        <v>2179</v>
      </c>
      <c r="N497">
        <v>648</v>
      </c>
      <c r="O497">
        <v>545</v>
      </c>
      <c r="P497">
        <v>124</v>
      </c>
    </row>
    <row r="498" spans="1:16" x14ac:dyDescent="0.2">
      <c r="A498" t="s">
        <v>341</v>
      </c>
      <c r="B498" t="s">
        <v>346</v>
      </c>
      <c r="C498" t="s">
        <v>626</v>
      </c>
      <c r="D498" t="s">
        <v>390</v>
      </c>
      <c r="E498">
        <v>3665</v>
      </c>
      <c r="F498">
        <v>1252</v>
      </c>
      <c r="G498">
        <v>119.13</v>
      </c>
      <c r="L498">
        <v>316</v>
      </c>
      <c r="M498">
        <v>2119</v>
      </c>
      <c r="N498">
        <v>645</v>
      </c>
      <c r="O498">
        <v>472</v>
      </c>
      <c r="P498">
        <v>113</v>
      </c>
    </row>
    <row r="499" spans="1:16" x14ac:dyDescent="0.2">
      <c r="A499" t="s">
        <v>341</v>
      </c>
      <c r="B499" t="s">
        <v>347</v>
      </c>
      <c r="C499" t="s">
        <v>626</v>
      </c>
      <c r="D499" t="s">
        <v>390</v>
      </c>
      <c r="E499">
        <v>181</v>
      </c>
      <c r="F499">
        <v>99</v>
      </c>
      <c r="G499">
        <v>131.29</v>
      </c>
      <c r="L499">
        <v>40</v>
      </c>
      <c r="M499">
        <v>56</v>
      </c>
      <c r="N499">
        <v>2</v>
      </c>
      <c r="O499">
        <v>72</v>
      </c>
      <c r="P499">
        <v>11</v>
      </c>
    </row>
    <row r="500" spans="1:16" x14ac:dyDescent="0.2">
      <c r="A500" t="s">
        <v>341</v>
      </c>
      <c r="B500" t="s">
        <v>348</v>
      </c>
      <c r="C500" t="s">
        <v>626</v>
      </c>
      <c r="D500" t="s">
        <v>390</v>
      </c>
      <c r="E500">
        <v>7</v>
      </c>
      <c r="F500">
        <v>2</v>
      </c>
      <c r="G500">
        <v>98</v>
      </c>
      <c r="L500">
        <v>1</v>
      </c>
      <c r="M500">
        <v>4</v>
      </c>
      <c r="N500">
        <v>1</v>
      </c>
      <c r="O500">
        <v>1</v>
      </c>
    </row>
    <row r="501" spans="1:16" x14ac:dyDescent="0.2">
      <c r="A501" t="s">
        <v>341</v>
      </c>
      <c r="B501" t="s">
        <v>417</v>
      </c>
      <c r="C501" t="s">
        <v>627</v>
      </c>
      <c r="D501" t="s">
        <v>390</v>
      </c>
      <c r="E501">
        <v>797</v>
      </c>
      <c r="F501">
        <v>186</v>
      </c>
      <c r="G501">
        <v>97.23</v>
      </c>
      <c r="L501">
        <v>190</v>
      </c>
      <c r="M501">
        <v>487</v>
      </c>
      <c r="N501">
        <v>74</v>
      </c>
      <c r="O501">
        <v>40</v>
      </c>
      <c r="P501">
        <v>6</v>
      </c>
    </row>
    <row r="502" spans="1:16" x14ac:dyDescent="0.2">
      <c r="A502" t="s">
        <v>341</v>
      </c>
      <c r="B502" t="s">
        <v>346</v>
      </c>
      <c r="C502" t="s">
        <v>627</v>
      </c>
      <c r="D502" t="s">
        <v>390</v>
      </c>
      <c r="E502">
        <v>797</v>
      </c>
      <c r="F502">
        <v>186</v>
      </c>
      <c r="G502">
        <v>97.23</v>
      </c>
      <c r="L502">
        <v>190</v>
      </c>
      <c r="M502">
        <v>487</v>
      </c>
      <c r="N502">
        <v>74</v>
      </c>
      <c r="O502">
        <v>40</v>
      </c>
      <c r="P502">
        <v>6</v>
      </c>
    </row>
    <row r="503" spans="1:16" x14ac:dyDescent="0.2">
      <c r="A503" t="s">
        <v>341</v>
      </c>
      <c r="B503" t="s">
        <v>417</v>
      </c>
      <c r="C503" t="s">
        <v>628</v>
      </c>
      <c r="D503" t="s">
        <v>390</v>
      </c>
      <c r="E503">
        <v>9338</v>
      </c>
      <c r="F503">
        <v>1707</v>
      </c>
      <c r="G503">
        <v>88.05</v>
      </c>
      <c r="L503">
        <v>220</v>
      </c>
      <c r="M503">
        <v>5852</v>
      </c>
      <c r="N503">
        <v>3143</v>
      </c>
      <c r="O503">
        <v>123</v>
      </c>
    </row>
    <row r="504" spans="1:16" x14ac:dyDescent="0.2">
      <c r="A504" t="s">
        <v>341</v>
      </c>
      <c r="B504" t="s">
        <v>346</v>
      </c>
      <c r="C504" t="s">
        <v>628</v>
      </c>
      <c r="D504" t="s">
        <v>390</v>
      </c>
      <c r="E504">
        <v>8787</v>
      </c>
      <c r="F504">
        <v>1606</v>
      </c>
      <c r="G504">
        <v>87.97</v>
      </c>
      <c r="L504">
        <v>73</v>
      </c>
      <c r="M504">
        <v>5556</v>
      </c>
      <c r="N504">
        <v>3136</v>
      </c>
      <c r="O504">
        <v>22</v>
      </c>
    </row>
    <row r="505" spans="1:16" x14ac:dyDescent="0.2">
      <c r="A505" t="s">
        <v>341</v>
      </c>
      <c r="B505" t="s">
        <v>347</v>
      </c>
      <c r="C505" t="s">
        <v>628</v>
      </c>
      <c r="D505" t="s">
        <v>390</v>
      </c>
      <c r="E505">
        <v>540</v>
      </c>
      <c r="F505">
        <v>100</v>
      </c>
      <c r="G505">
        <v>89.73</v>
      </c>
      <c r="L505">
        <v>147</v>
      </c>
      <c r="M505">
        <v>290</v>
      </c>
      <c r="N505">
        <v>2</v>
      </c>
      <c r="O505">
        <v>101</v>
      </c>
    </row>
    <row r="506" spans="1:16" x14ac:dyDescent="0.2">
      <c r="A506" t="s">
        <v>341</v>
      </c>
      <c r="B506" t="s">
        <v>348</v>
      </c>
      <c r="C506" t="s">
        <v>628</v>
      </c>
      <c r="D506" t="s">
        <v>390</v>
      </c>
      <c r="E506">
        <v>11</v>
      </c>
      <c r="F506">
        <v>1</v>
      </c>
      <c r="G506">
        <v>70</v>
      </c>
      <c r="M506">
        <v>6</v>
      </c>
      <c r="N506">
        <v>5</v>
      </c>
    </row>
    <row r="507" spans="1:16" x14ac:dyDescent="0.2">
      <c r="A507" t="s">
        <v>341</v>
      </c>
      <c r="B507" t="s">
        <v>417</v>
      </c>
      <c r="C507" t="s">
        <v>629</v>
      </c>
      <c r="D507" t="s">
        <v>390</v>
      </c>
      <c r="E507">
        <v>81</v>
      </c>
      <c r="F507">
        <v>45</v>
      </c>
      <c r="G507">
        <v>150</v>
      </c>
      <c r="L507">
        <v>12</v>
      </c>
      <c r="M507">
        <v>41</v>
      </c>
      <c r="N507">
        <v>14</v>
      </c>
      <c r="O507">
        <v>9</v>
      </c>
      <c r="P507">
        <v>5</v>
      </c>
    </row>
    <row r="508" spans="1:16" x14ac:dyDescent="0.2">
      <c r="A508" t="s">
        <v>341</v>
      </c>
      <c r="B508" t="s">
        <v>346</v>
      </c>
      <c r="C508" t="s">
        <v>629</v>
      </c>
      <c r="D508" t="s">
        <v>390</v>
      </c>
      <c r="E508">
        <v>73</v>
      </c>
      <c r="F508">
        <v>40</v>
      </c>
      <c r="G508">
        <v>150.08000000000001</v>
      </c>
      <c r="L508">
        <v>9</v>
      </c>
      <c r="M508">
        <v>38</v>
      </c>
      <c r="N508">
        <v>14</v>
      </c>
      <c r="O508">
        <v>7</v>
      </c>
      <c r="P508">
        <v>5</v>
      </c>
    </row>
    <row r="509" spans="1:16" x14ac:dyDescent="0.2">
      <c r="A509" t="s">
        <v>341</v>
      </c>
      <c r="B509" t="s">
        <v>347</v>
      </c>
      <c r="C509" t="s">
        <v>629</v>
      </c>
      <c r="D509" t="s">
        <v>390</v>
      </c>
      <c r="E509">
        <v>8</v>
      </c>
      <c r="F509">
        <v>5</v>
      </c>
      <c r="G509">
        <v>149.25</v>
      </c>
      <c r="L509">
        <v>3</v>
      </c>
      <c r="M509">
        <v>3</v>
      </c>
      <c r="O509">
        <v>2</v>
      </c>
    </row>
    <row r="510" spans="1:16" x14ac:dyDescent="0.2">
      <c r="A510" t="s">
        <v>341</v>
      </c>
      <c r="B510" t="s">
        <v>417</v>
      </c>
      <c r="C510" t="s">
        <v>630</v>
      </c>
      <c r="D510" t="s">
        <v>390</v>
      </c>
      <c r="E510">
        <v>82</v>
      </c>
      <c r="F510">
        <v>15</v>
      </c>
      <c r="G510">
        <v>89.49</v>
      </c>
      <c r="L510">
        <v>8</v>
      </c>
      <c r="M510">
        <v>61</v>
      </c>
      <c r="N510">
        <v>6</v>
      </c>
      <c r="O510">
        <v>7</v>
      </c>
    </row>
    <row r="511" spans="1:16" x14ac:dyDescent="0.2">
      <c r="A511" t="s">
        <v>341</v>
      </c>
      <c r="B511" t="s">
        <v>346</v>
      </c>
      <c r="C511" t="s">
        <v>630</v>
      </c>
      <c r="D511" t="s">
        <v>390</v>
      </c>
      <c r="E511">
        <v>82</v>
      </c>
      <c r="F511">
        <v>15</v>
      </c>
      <c r="G511">
        <v>89.49</v>
      </c>
      <c r="L511">
        <v>8</v>
      </c>
      <c r="M511">
        <v>61</v>
      </c>
      <c r="N511">
        <v>6</v>
      </c>
      <c r="O511">
        <v>7</v>
      </c>
    </row>
    <row r="512" spans="1:16" x14ac:dyDescent="0.2">
      <c r="A512" t="s">
        <v>341</v>
      </c>
      <c r="B512" t="s">
        <v>417</v>
      </c>
      <c r="C512" t="s">
        <v>631</v>
      </c>
      <c r="D512" t="s">
        <v>390</v>
      </c>
      <c r="E512">
        <v>323</v>
      </c>
      <c r="F512">
        <v>74</v>
      </c>
      <c r="G512">
        <v>95</v>
      </c>
      <c r="L512">
        <v>8</v>
      </c>
      <c r="M512">
        <v>246</v>
      </c>
      <c r="N512">
        <v>64</v>
      </c>
      <c r="O512">
        <v>5</v>
      </c>
    </row>
    <row r="513" spans="1:16" x14ac:dyDescent="0.2">
      <c r="A513" t="s">
        <v>341</v>
      </c>
      <c r="B513" t="s">
        <v>346</v>
      </c>
      <c r="C513" t="s">
        <v>631</v>
      </c>
      <c r="D513" t="s">
        <v>390</v>
      </c>
      <c r="E513">
        <v>303</v>
      </c>
      <c r="F513">
        <v>71</v>
      </c>
      <c r="G513">
        <v>95.15</v>
      </c>
      <c r="L513">
        <v>3</v>
      </c>
      <c r="M513">
        <v>235</v>
      </c>
      <c r="N513">
        <v>64</v>
      </c>
      <c r="O513">
        <v>1</v>
      </c>
    </row>
    <row r="514" spans="1:16" x14ac:dyDescent="0.2">
      <c r="A514" t="s">
        <v>341</v>
      </c>
      <c r="B514" t="s">
        <v>347</v>
      </c>
      <c r="C514" t="s">
        <v>631</v>
      </c>
      <c r="D514" t="s">
        <v>390</v>
      </c>
      <c r="E514">
        <v>20</v>
      </c>
      <c r="F514">
        <v>3</v>
      </c>
      <c r="G514">
        <v>92.85</v>
      </c>
      <c r="L514">
        <v>5</v>
      </c>
      <c r="M514">
        <v>11</v>
      </c>
      <c r="O514">
        <v>4</v>
      </c>
    </row>
    <row r="515" spans="1:16" x14ac:dyDescent="0.2">
      <c r="A515" t="s">
        <v>341</v>
      </c>
      <c r="B515" t="s">
        <v>417</v>
      </c>
      <c r="C515" t="s">
        <v>632</v>
      </c>
      <c r="D515" t="s">
        <v>390</v>
      </c>
      <c r="E515">
        <v>1865</v>
      </c>
      <c r="F515">
        <v>651</v>
      </c>
      <c r="G515">
        <v>121.87</v>
      </c>
      <c r="L515">
        <v>187</v>
      </c>
      <c r="M515">
        <v>1066</v>
      </c>
      <c r="N515">
        <v>230</v>
      </c>
      <c r="O515">
        <v>312</v>
      </c>
      <c r="P515">
        <v>70</v>
      </c>
    </row>
    <row r="516" spans="1:16" x14ac:dyDescent="0.2">
      <c r="A516" t="s">
        <v>341</v>
      </c>
      <c r="B516" t="s">
        <v>346</v>
      </c>
      <c r="C516" t="s">
        <v>632</v>
      </c>
      <c r="D516" t="s">
        <v>390</v>
      </c>
      <c r="E516">
        <v>1742</v>
      </c>
      <c r="F516">
        <v>579</v>
      </c>
      <c r="G516">
        <v>121.09</v>
      </c>
      <c r="L516">
        <v>162</v>
      </c>
      <c r="M516">
        <v>1023</v>
      </c>
      <c r="N516">
        <v>229</v>
      </c>
      <c r="O516">
        <v>266</v>
      </c>
      <c r="P516">
        <v>62</v>
      </c>
    </row>
    <row r="517" spans="1:16" x14ac:dyDescent="0.2">
      <c r="A517" t="s">
        <v>341</v>
      </c>
      <c r="B517" t="s">
        <v>347</v>
      </c>
      <c r="C517" t="s">
        <v>632</v>
      </c>
      <c r="D517" t="s">
        <v>390</v>
      </c>
      <c r="E517">
        <v>119</v>
      </c>
      <c r="F517">
        <v>70</v>
      </c>
      <c r="G517">
        <v>133.44</v>
      </c>
      <c r="L517">
        <v>25</v>
      </c>
      <c r="M517">
        <v>39</v>
      </c>
      <c r="N517">
        <v>1</v>
      </c>
      <c r="O517">
        <v>46</v>
      </c>
      <c r="P517">
        <v>8</v>
      </c>
    </row>
    <row r="518" spans="1:16" x14ac:dyDescent="0.2">
      <c r="A518" t="s">
        <v>341</v>
      </c>
      <c r="B518" t="s">
        <v>348</v>
      </c>
      <c r="C518" t="s">
        <v>632</v>
      </c>
      <c r="D518" t="s">
        <v>390</v>
      </c>
      <c r="E518">
        <v>4</v>
      </c>
      <c r="F518">
        <v>2</v>
      </c>
      <c r="G518">
        <v>117.25</v>
      </c>
      <c r="M518">
        <v>4</v>
      </c>
    </row>
    <row r="519" spans="1:16" x14ac:dyDescent="0.2">
      <c r="A519" t="s">
        <v>341</v>
      </c>
      <c r="B519" t="s">
        <v>417</v>
      </c>
      <c r="C519" t="s">
        <v>633</v>
      </c>
      <c r="D519" t="s">
        <v>390</v>
      </c>
      <c r="E519">
        <v>493</v>
      </c>
      <c r="F519">
        <v>40</v>
      </c>
      <c r="G519">
        <v>73.34</v>
      </c>
      <c r="L519">
        <v>108</v>
      </c>
      <c r="M519">
        <v>276</v>
      </c>
      <c r="N519">
        <v>88</v>
      </c>
      <c r="O519">
        <v>18</v>
      </c>
      <c r="P519">
        <v>3</v>
      </c>
    </row>
    <row r="520" spans="1:16" x14ac:dyDescent="0.2">
      <c r="A520" t="s">
        <v>341</v>
      </c>
      <c r="B520" t="s">
        <v>346</v>
      </c>
      <c r="C520" t="s">
        <v>633</v>
      </c>
      <c r="D520" t="s">
        <v>390</v>
      </c>
      <c r="E520">
        <v>491</v>
      </c>
      <c r="F520">
        <v>40</v>
      </c>
      <c r="G520">
        <v>73.44</v>
      </c>
      <c r="L520">
        <v>107</v>
      </c>
      <c r="M520">
        <v>275</v>
      </c>
      <c r="N520">
        <v>88</v>
      </c>
      <c r="O520">
        <v>18</v>
      </c>
      <c r="P520">
        <v>3</v>
      </c>
    </row>
    <row r="521" spans="1:16" x14ac:dyDescent="0.2">
      <c r="A521" t="s">
        <v>341</v>
      </c>
      <c r="B521" t="s">
        <v>348</v>
      </c>
      <c r="C521" t="s">
        <v>633</v>
      </c>
      <c r="D521" t="s">
        <v>390</v>
      </c>
      <c r="E521">
        <v>2</v>
      </c>
      <c r="G521">
        <v>50</v>
      </c>
      <c r="L521">
        <v>1</v>
      </c>
      <c r="M521">
        <v>1</v>
      </c>
    </row>
    <row r="522" spans="1:16" x14ac:dyDescent="0.2">
      <c r="A522" t="s">
        <v>341</v>
      </c>
      <c r="B522" t="s">
        <v>417</v>
      </c>
      <c r="C522" t="s">
        <v>634</v>
      </c>
      <c r="D522" t="s">
        <v>390</v>
      </c>
      <c r="E522">
        <v>4796</v>
      </c>
      <c r="F522">
        <v>836</v>
      </c>
      <c r="G522">
        <v>86.21</v>
      </c>
      <c r="L522">
        <v>112</v>
      </c>
      <c r="M522">
        <v>3123</v>
      </c>
      <c r="N522">
        <v>1469</v>
      </c>
      <c r="O522">
        <v>92</v>
      </c>
    </row>
    <row r="523" spans="1:16" x14ac:dyDescent="0.2">
      <c r="A523" t="s">
        <v>341</v>
      </c>
      <c r="B523" t="s">
        <v>346</v>
      </c>
      <c r="C523" t="s">
        <v>634</v>
      </c>
      <c r="D523" t="s">
        <v>390</v>
      </c>
      <c r="E523">
        <v>4386</v>
      </c>
      <c r="F523">
        <v>737</v>
      </c>
      <c r="G523">
        <v>85.17</v>
      </c>
      <c r="L523">
        <v>38</v>
      </c>
      <c r="M523">
        <v>2866</v>
      </c>
      <c r="N523">
        <v>1462</v>
      </c>
      <c r="O523">
        <v>20</v>
      </c>
    </row>
    <row r="524" spans="1:16" x14ac:dyDescent="0.2">
      <c r="A524" t="s">
        <v>341</v>
      </c>
      <c r="B524" t="s">
        <v>347</v>
      </c>
      <c r="C524" t="s">
        <v>634</v>
      </c>
      <c r="D524" t="s">
        <v>390</v>
      </c>
      <c r="E524">
        <v>404</v>
      </c>
      <c r="F524">
        <v>99</v>
      </c>
      <c r="G524">
        <v>98</v>
      </c>
      <c r="L524">
        <v>74</v>
      </c>
      <c r="M524">
        <v>253</v>
      </c>
      <c r="N524">
        <v>5</v>
      </c>
      <c r="O524">
        <v>72</v>
      </c>
    </row>
    <row r="525" spans="1:16" x14ac:dyDescent="0.2">
      <c r="A525" t="s">
        <v>341</v>
      </c>
      <c r="B525" t="s">
        <v>348</v>
      </c>
      <c r="C525" t="s">
        <v>634</v>
      </c>
      <c r="D525" t="s">
        <v>390</v>
      </c>
      <c r="E525">
        <v>6</v>
      </c>
      <c r="G525">
        <v>58.83</v>
      </c>
      <c r="M525">
        <v>4</v>
      </c>
      <c r="N525">
        <v>2</v>
      </c>
    </row>
    <row r="526" spans="1:16" x14ac:dyDescent="0.2">
      <c r="A526" t="s">
        <v>341</v>
      </c>
      <c r="B526" t="s">
        <v>417</v>
      </c>
      <c r="C526" t="s">
        <v>635</v>
      </c>
      <c r="D526" t="s">
        <v>390</v>
      </c>
      <c r="E526">
        <v>1102</v>
      </c>
      <c r="F526">
        <v>371</v>
      </c>
      <c r="G526">
        <v>118.24</v>
      </c>
      <c r="L526">
        <v>106</v>
      </c>
      <c r="M526">
        <v>589</v>
      </c>
      <c r="N526">
        <v>176</v>
      </c>
      <c r="O526">
        <v>197</v>
      </c>
      <c r="P526">
        <v>34</v>
      </c>
    </row>
    <row r="527" spans="1:16" x14ac:dyDescent="0.2">
      <c r="A527" t="s">
        <v>341</v>
      </c>
      <c r="B527" t="s">
        <v>346</v>
      </c>
      <c r="C527" t="s">
        <v>635</v>
      </c>
      <c r="D527" t="s">
        <v>390</v>
      </c>
      <c r="E527">
        <v>1068</v>
      </c>
      <c r="F527">
        <v>360</v>
      </c>
      <c r="G527">
        <v>118.85</v>
      </c>
      <c r="L527">
        <v>97</v>
      </c>
      <c r="M527">
        <v>580</v>
      </c>
      <c r="N527">
        <v>176</v>
      </c>
      <c r="O527">
        <v>184</v>
      </c>
      <c r="P527">
        <v>31</v>
      </c>
    </row>
    <row r="528" spans="1:16" x14ac:dyDescent="0.2">
      <c r="A528" t="s">
        <v>341</v>
      </c>
      <c r="B528" t="s">
        <v>347</v>
      </c>
      <c r="C528" t="s">
        <v>635</v>
      </c>
      <c r="D528" t="s">
        <v>390</v>
      </c>
      <c r="E528">
        <v>33</v>
      </c>
      <c r="F528">
        <v>11</v>
      </c>
      <c r="G528">
        <v>99.52</v>
      </c>
      <c r="L528">
        <v>9</v>
      </c>
      <c r="M528">
        <v>9</v>
      </c>
      <c r="O528">
        <v>12</v>
      </c>
      <c r="P528">
        <v>3</v>
      </c>
    </row>
    <row r="529" spans="1:16" x14ac:dyDescent="0.2">
      <c r="A529" t="s">
        <v>341</v>
      </c>
      <c r="B529" t="s">
        <v>348</v>
      </c>
      <c r="C529" t="s">
        <v>635</v>
      </c>
      <c r="D529" t="s">
        <v>390</v>
      </c>
      <c r="E529">
        <v>1</v>
      </c>
      <c r="G529">
        <v>87</v>
      </c>
      <c r="O529">
        <v>1</v>
      </c>
    </row>
    <row r="530" spans="1:16" x14ac:dyDescent="0.2">
      <c r="A530" t="s">
        <v>341</v>
      </c>
      <c r="B530" t="s">
        <v>417</v>
      </c>
      <c r="C530" t="s">
        <v>636</v>
      </c>
      <c r="D530" t="s">
        <v>390</v>
      </c>
      <c r="E530">
        <v>230</v>
      </c>
      <c r="F530">
        <v>39</v>
      </c>
      <c r="G530">
        <v>87.6</v>
      </c>
      <c r="L530">
        <v>61</v>
      </c>
      <c r="M530">
        <v>142</v>
      </c>
      <c r="N530">
        <v>16</v>
      </c>
      <c r="O530">
        <v>9</v>
      </c>
      <c r="P530">
        <v>2</v>
      </c>
    </row>
    <row r="531" spans="1:16" x14ac:dyDescent="0.2">
      <c r="A531" t="s">
        <v>341</v>
      </c>
      <c r="B531" t="s">
        <v>346</v>
      </c>
      <c r="C531" t="s">
        <v>636</v>
      </c>
      <c r="D531" t="s">
        <v>390</v>
      </c>
      <c r="E531">
        <v>208</v>
      </c>
      <c r="F531">
        <v>34</v>
      </c>
      <c r="G531">
        <v>88.74</v>
      </c>
      <c r="L531">
        <v>48</v>
      </c>
      <c r="M531">
        <v>138</v>
      </c>
      <c r="N531">
        <v>16</v>
      </c>
      <c r="O531">
        <v>5</v>
      </c>
      <c r="P531">
        <v>1</v>
      </c>
    </row>
    <row r="532" spans="1:16" x14ac:dyDescent="0.2">
      <c r="A532" t="s">
        <v>341</v>
      </c>
      <c r="B532" t="s">
        <v>347</v>
      </c>
      <c r="C532" t="s">
        <v>636</v>
      </c>
      <c r="D532" t="s">
        <v>390</v>
      </c>
      <c r="E532">
        <v>22</v>
      </c>
      <c r="F532">
        <v>5</v>
      </c>
      <c r="G532">
        <v>76.819999999999993</v>
      </c>
      <c r="L532">
        <v>13</v>
      </c>
      <c r="M532">
        <v>4</v>
      </c>
      <c r="O532">
        <v>4</v>
      </c>
      <c r="P532">
        <v>1</v>
      </c>
    </row>
    <row r="533" spans="1:16" x14ac:dyDescent="0.2">
      <c r="A533" t="s">
        <v>341</v>
      </c>
      <c r="B533" t="s">
        <v>417</v>
      </c>
      <c r="C533" t="s">
        <v>637</v>
      </c>
      <c r="D533" t="s">
        <v>390</v>
      </c>
      <c r="E533">
        <v>3019</v>
      </c>
      <c r="F533">
        <v>529</v>
      </c>
      <c r="G533">
        <v>89.05</v>
      </c>
      <c r="L533">
        <v>118</v>
      </c>
      <c r="M533">
        <v>2179</v>
      </c>
      <c r="N533">
        <v>672</v>
      </c>
      <c r="O533">
        <v>50</v>
      </c>
    </row>
    <row r="534" spans="1:16" x14ac:dyDescent="0.2">
      <c r="A534" t="s">
        <v>341</v>
      </c>
      <c r="B534" t="s">
        <v>346</v>
      </c>
      <c r="C534" t="s">
        <v>637</v>
      </c>
      <c r="D534" t="s">
        <v>390</v>
      </c>
      <c r="E534">
        <v>2730</v>
      </c>
      <c r="F534">
        <v>499</v>
      </c>
      <c r="G534">
        <v>90.06</v>
      </c>
      <c r="L534">
        <v>27</v>
      </c>
      <c r="M534">
        <v>2023</v>
      </c>
      <c r="N534">
        <v>669</v>
      </c>
      <c r="O534">
        <v>11</v>
      </c>
    </row>
    <row r="535" spans="1:16" x14ac:dyDescent="0.2">
      <c r="A535" t="s">
        <v>341</v>
      </c>
      <c r="B535" t="s">
        <v>347</v>
      </c>
      <c r="C535" t="s">
        <v>637</v>
      </c>
      <c r="D535" t="s">
        <v>390</v>
      </c>
      <c r="E535">
        <v>284</v>
      </c>
      <c r="F535">
        <v>28</v>
      </c>
      <c r="G535">
        <v>76.709999999999994</v>
      </c>
      <c r="L535">
        <v>91</v>
      </c>
      <c r="M535">
        <v>153</v>
      </c>
      <c r="N535">
        <v>1</v>
      </c>
      <c r="O535">
        <v>39</v>
      </c>
    </row>
    <row r="536" spans="1:16" x14ac:dyDescent="0.2">
      <c r="A536" t="s">
        <v>341</v>
      </c>
      <c r="B536" t="s">
        <v>348</v>
      </c>
      <c r="C536" t="s">
        <v>637</v>
      </c>
      <c r="D536" t="s">
        <v>390</v>
      </c>
      <c r="E536">
        <v>5</v>
      </c>
      <c r="F536">
        <v>2</v>
      </c>
      <c r="G536">
        <v>241</v>
      </c>
      <c r="M536">
        <v>3</v>
      </c>
      <c r="N536">
        <v>2</v>
      </c>
    </row>
    <row r="537" spans="1:16" x14ac:dyDescent="0.2">
      <c r="A537" t="s">
        <v>341</v>
      </c>
      <c r="B537" t="s">
        <v>417</v>
      </c>
      <c r="C537" t="s">
        <v>638</v>
      </c>
      <c r="D537" t="s">
        <v>390</v>
      </c>
      <c r="E537">
        <v>638</v>
      </c>
      <c r="F537">
        <v>234</v>
      </c>
      <c r="G537">
        <v>116.67</v>
      </c>
      <c r="L537">
        <v>85</v>
      </c>
      <c r="M537">
        <v>335</v>
      </c>
      <c r="N537">
        <v>93</v>
      </c>
      <c r="O537">
        <v>96</v>
      </c>
      <c r="P537">
        <v>29</v>
      </c>
    </row>
    <row r="538" spans="1:16" x14ac:dyDescent="0.2">
      <c r="A538" t="s">
        <v>341</v>
      </c>
      <c r="B538" t="s">
        <v>346</v>
      </c>
      <c r="C538" t="s">
        <v>638</v>
      </c>
      <c r="D538" t="s">
        <v>390</v>
      </c>
      <c r="E538">
        <v>595</v>
      </c>
      <c r="F538">
        <v>210</v>
      </c>
      <c r="G538">
        <v>112.88</v>
      </c>
      <c r="L538">
        <v>73</v>
      </c>
      <c r="M538">
        <v>326</v>
      </c>
      <c r="N538">
        <v>93</v>
      </c>
      <c r="O538">
        <v>79</v>
      </c>
      <c r="P538">
        <v>24</v>
      </c>
    </row>
    <row r="539" spans="1:16" x14ac:dyDescent="0.2">
      <c r="A539" t="s">
        <v>341</v>
      </c>
      <c r="B539" t="s">
        <v>347</v>
      </c>
      <c r="C539" t="s">
        <v>638</v>
      </c>
      <c r="D539" t="s">
        <v>390</v>
      </c>
      <c r="E539">
        <v>43</v>
      </c>
      <c r="F539">
        <v>24</v>
      </c>
      <c r="G539">
        <v>169.07</v>
      </c>
      <c r="L539">
        <v>12</v>
      </c>
      <c r="M539">
        <v>9</v>
      </c>
      <c r="O539">
        <v>17</v>
      </c>
      <c r="P539">
        <v>5</v>
      </c>
    </row>
    <row r="540" spans="1:16" x14ac:dyDescent="0.2">
      <c r="A540" t="s">
        <v>341</v>
      </c>
      <c r="B540" t="s">
        <v>417</v>
      </c>
      <c r="C540" t="s">
        <v>639</v>
      </c>
      <c r="D540" t="s">
        <v>390</v>
      </c>
      <c r="E540">
        <v>177</v>
      </c>
      <c r="F540">
        <v>8</v>
      </c>
      <c r="G540">
        <v>67.56</v>
      </c>
      <c r="L540">
        <v>46</v>
      </c>
      <c r="M540">
        <v>107</v>
      </c>
      <c r="N540">
        <v>18</v>
      </c>
      <c r="O540">
        <v>6</v>
      </c>
    </row>
    <row r="541" spans="1:16" x14ac:dyDescent="0.2">
      <c r="A541" t="s">
        <v>341</v>
      </c>
      <c r="B541" t="s">
        <v>346</v>
      </c>
      <c r="C541" t="s">
        <v>639</v>
      </c>
      <c r="D541" t="s">
        <v>390</v>
      </c>
      <c r="E541">
        <v>176</v>
      </c>
      <c r="F541">
        <v>8</v>
      </c>
      <c r="G541">
        <v>67.930000000000007</v>
      </c>
      <c r="L541">
        <v>45</v>
      </c>
      <c r="M541">
        <v>107</v>
      </c>
      <c r="N541">
        <v>18</v>
      </c>
      <c r="O541">
        <v>6</v>
      </c>
    </row>
    <row r="542" spans="1:16" x14ac:dyDescent="0.2">
      <c r="A542" t="s">
        <v>341</v>
      </c>
      <c r="B542" t="s">
        <v>348</v>
      </c>
      <c r="C542" t="s">
        <v>639</v>
      </c>
      <c r="D542" t="s">
        <v>390</v>
      </c>
      <c r="E542">
        <v>1</v>
      </c>
      <c r="G542">
        <v>3</v>
      </c>
      <c r="L542">
        <v>1</v>
      </c>
    </row>
    <row r="543" spans="1:16" x14ac:dyDescent="0.2">
      <c r="A543" t="s">
        <v>341</v>
      </c>
      <c r="B543" t="s">
        <v>417</v>
      </c>
      <c r="C543" t="s">
        <v>640</v>
      </c>
      <c r="D543" t="s">
        <v>390</v>
      </c>
      <c r="E543">
        <v>1672</v>
      </c>
      <c r="F543">
        <v>312</v>
      </c>
      <c r="G543">
        <v>88.51</v>
      </c>
      <c r="L543">
        <v>64</v>
      </c>
      <c r="M543">
        <v>1167</v>
      </c>
      <c r="N543">
        <v>397</v>
      </c>
      <c r="O543">
        <v>44</v>
      </c>
    </row>
    <row r="544" spans="1:16" x14ac:dyDescent="0.2">
      <c r="A544" t="s">
        <v>341</v>
      </c>
      <c r="B544" t="s">
        <v>346</v>
      </c>
      <c r="C544" t="s">
        <v>640</v>
      </c>
      <c r="D544" t="s">
        <v>390</v>
      </c>
      <c r="E544">
        <v>1519</v>
      </c>
      <c r="F544">
        <v>284</v>
      </c>
      <c r="G544">
        <v>88.62</v>
      </c>
      <c r="L544">
        <v>24</v>
      </c>
      <c r="M544">
        <v>1091</v>
      </c>
      <c r="N544">
        <v>397</v>
      </c>
      <c r="O544">
        <v>7</v>
      </c>
    </row>
    <row r="545" spans="1:16" x14ac:dyDescent="0.2">
      <c r="A545" t="s">
        <v>341</v>
      </c>
      <c r="B545" t="s">
        <v>347</v>
      </c>
      <c r="C545" t="s">
        <v>640</v>
      </c>
      <c r="D545" t="s">
        <v>390</v>
      </c>
      <c r="E545">
        <v>153</v>
      </c>
      <c r="F545">
        <v>28</v>
      </c>
      <c r="G545">
        <v>87.49</v>
      </c>
      <c r="L545">
        <v>40</v>
      </c>
      <c r="M545">
        <v>76</v>
      </c>
      <c r="O545">
        <v>37</v>
      </c>
    </row>
    <row r="546" spans="1:16" x14ac:dyDescent="0.2">
      <c r="A546" t="s">
        <v>341</v>
      </c>
      <c r="B546" t="s">
        <v>417</v>
      </c>
      <c r="C546" t="s">
        <v>641</v>
      </c>
      <c r="D546" t="s">
        <v>390</v>
      </c>
      <c r="E546">
        <v>148</v>
      </c>
      <c r="F546">
        <v>82</v>
      </c>
      <c r="G546">
        <v>151.72</v>
      </c>
      <c r="L546">
        <v>16</v>
      </c>
      <c r="M546">
        <v>73</v>
      </c>
      <c r="N546">
        <v>30</v>
      </c>
      <c r="O546">
        <v>26</v>
      </c>
      <c r="P546">
        <v>3</v>
      </c>
    </row>
    <row r="547" spans="1:16" x14ac:dyDescent="0.2">
      <c r="A547" t="s">
        <v>341</v>
      </c>
      <c r="B547" t="s">
        <v>346</v>
      </c>
      <c r="C547" t="s">
        <v>641</v>
      </c>
      <c r="D547" t="s">
        <v>390</v>
      </c>
      <c r="E547">
        <v>139</v>
      </c>
      <c r="F547">
        <v>78</v>
      </c>
      <c r="G547">
        <v>154.36000000000001</v>
      </c>
      <c r="L547">
        <v>14</v>
      </c>
      <c r="M547">
        <v>70</v>
      </c>
      <c r="N547">
        <v>30</v>
      </c>
      <c r="O547">
        <v>22</v>
      </c>
      <c r="P547">
        <v>3</v>
      </c>
    </row>
    <row r="548" spans="1:16" x14ac:dyDescent="0.2">
      <c r="A548" t="s">
        <v>341</v>
      </c>
      <c r="B548" t="s">
        <v>347</v>
      </c>
      <c r="C548" t="s">
        <v>641</v>
      </c>
      <c r="D548" t="s">
        <v>390</v>
      </c>
      <c r="E548">
        <v>9</v>
      </c>
      <c r="F548">
        <v>4</v>
      </c>
      <c r="G548">
        <v>110.89</v>
      </c>
      <c r="L548">
        <v>2</v>
      </c>
      <c r="M548">
        <v>3</v>
      </c>
      <c r="O548">
        <v>4</v>
      </c>
    </row>
    <row r="549" spans="1:16" x14ac:dyDescent="0.2">
      <c r="A549" t="s">
        <v>341</v>
      </c>
      <c r="B549" t="s">
        <v>417</v>
      </c>
      <c r="C549" t="s">
        <v>642</v>
      </c>
      <c r="D549" t="s">
        <v>390</v>
      </c>
      <c r="E549">
        <v>71</v>
      </c>
      <c r="F549">
        <v>3</v>
      </c>
      <c r="G549">
        <v>63.03</v>
      </c>
      <c r="L549">
        <v>13</v>
      </c>
      <c r="M549">
        <v>47</v>
      </c>
      <c r="N549">
        <v>6</v>
      </c>
      <c r="O549">
        <v>3</v>
      </c>
      <c r="P549">
        <v>2</v>
      </c>
    </row>
    <row r="550" spans="1:16" x14ac:dyDescent="0.2">
      <c r="A550" t="s">
        <v>341</v>
      </c>
      <c r="B550" t="s">
        <v>346</v>
      </c>
      <c r="C550" t="s">
        <v>642</v>
      </c>
      <c r="D550" t="s">
        <v>390</v>
      </c>
      <c r="E550">
        <v>71</v>
      </c>
      <c r="F550">
        <v>3</v>
      </c>
      <c r="G550">
        <v>63.03</v>
      </c>
      <c r="L550">
        <v>13</v>
      </c>
      <c r="M550">
        <v>47</v>
      </c>
      <c r="N550">
        <v>6</v>
      </c>
      <c r="O550">
        <v>3</v>
      </c>
      <c r="P550">
        <v>2</v>
      </c>
    </row>
    <row r="551" spans="1:16" x14ac:dyDescent="0.2">
      <c r="A551" t="s">
        <v>341</v>
      </c>
      <c r="B551" t="s">
        <v>417</v>
      </c>
      <c r="C551" t="s">
        <v>643</v>
      </c>
      <c r="D551" t="s">
        <v>390</v>
      </c>
      <c r="E551">
        <v>593</v>
      </c>
      <c r="F551">
        <v>106</v>
      </c>
      <c r="G551">
        <v>85.07</v>
      </c>
      <c r="L551">
        <v>11</v>
      </c>
      <c r="M551">
        <v>414</v>
      </c>
      <c r="N551">
        <v>163</v>
      </c>
      <c r="O551">
        <v>5</v>
      </c>
    </row>
    <row r="552" spans="1:16" x14ac:dyDescent="0.2">
      <c r="A552" t="s">
        <v>341</v>
      </c>
      <c r="B552" t="s">
        <v>346</v>
      </c>
      <c r="C552" t="s">
        <v>643</v>
      </c>
      <c r="D552" t="s">
        <v>390</v>
      </c>
      <c r="E552">
        <v>565</v>
      </c>
      <c r="F552">
        <v>101</v>
      </c>
      <c r="G552">
        <v>84.88</v>
      </c>
      <c r="L552">
        <v>3</v>
      </c>
      <c r="M552">
        <v>399</v>
      </c>
      <c r="N552">
        <v>162</v>
      </c>
      <c r="O552">
        <v>1</v>
      </c>
    </row>
    <row r="553" spans="1:16" x14ac:dyDescent="0.2">
      <c r="A553" t="s">
        <v>341</v>
      </c>
      <c r="B553" t="s">
        <v>347</v>
      </c>
      <c r="C553" t="s">
        <v>643</v>
      </c>
      <c r="D553" t="s">
        <v>390</v>
      </c>
      <c r="E553">
        <v>27</v>
      </c>
      <c r="F553">
        <v>5</v>
      </c>
      <c r="G553">
        <v>88.89</v>
      </c>
      <c r="L553">
        <v>8</v>
      </c>
      <c r="M553">
        <v>15</v>
      </c>
      <c r="O553">
        <v>4</v>
      </c>
    </row>
    <row r="554" spans="1:16" x14ac:dyDescent="0.2">
      <c r="A554" t="s">
        <v>341</v>
      </c>
      <c r="B554" t="s">
        <v>348</v>
      </c>
      <c r="C554" t="s">
        <v>643</v>
      </c>
      <c r="D554" t="s">
        <v>390</v>
      </c>
      <c r="E554">
        <v>1</v>
      </c>
      <c r="G554">
        <v>90</v>
      </c>
      <c r="N554">
        <v>1</v>
      </c>
    </row>
    <row r="555" spans="1:16" x14ac:dyDescent="0.2">
      <c r="A555" t="s">
        <v>341</v>
      </c>
      <c r="B555" t="s">
        <v>346</v>
      </c>
      <c r="C555" t="s">
        <v>670</v>
      </c>
      <c r="D555" t="s">
        <v>390</v>
      </c>
      <c r="E555">
        <v>18044</v>
      </c>
      <c r="F555">
        <v>3992</v>
      </c>
      <c r="G555">
        <v>93.55</v>
      </c>
      <c r="L555">
        <v>787</v>
      </c>
      <c r="M555">
        <v>11477</v>
      </c>
      <c r="N555">
        <v>4915</v>
      </c>
      <c r="O555">
        <v>716</v>
      </c>
      <c r="P555">
        <v>149</v>
      </c>
    </row>
    <row r="556" spans="1:16" x14ac:dyDescent="0.2">
      <c r="A556" t="s">
        <v>341</v>
      </c>
      <c r="B556" t="s">
        <v>347</v>
      </c>
      <c r="C556" t="s">
        <v>670</v>
      </c>
      <c r="D556" t="s">
        <v>390</v>
      </c>
      <c r="E556">
        <v>1181</v>
      </c>
      <c r="F556">
        <v>296</v>
      </c>
      <c r="G556">
        <v>96.51</v>
      </c>
      <c r="L556">
        <v>346</v>
      </c>
      <c r="M556">
        <v>507</v>
      </c>
      <c r="N556">
        <v>11</v>
      </c>
      <c r="O556">
        <v>292</v>
      </c>
      <c r="P556">
        <v>25</v>
      </c>
    </row>
    <row r="557" spans="1:16" x14ac:dyDescent="0.2">
      <c r="A557" t="s">
        <v>341</v>
      </c>
      <c r="B557" t="s">
        <v>348</v>
      </c>
      <c r="C557" t="s">
        <v>670</v>
      </c>
      <c r="D557" t="s">
        <v>390</v>
      </c>
      <c r="E557">
        <v>25</v>
      </c>
      <c r="F557">
        <v>8</v>
      </c>
      <c r="G557">
        <v>119.6</v>
      </c>
      <c r="L557">
        <v>1</v>
      </c>
      <c r="M557">
        <v>17</v>
      </c>
      <c r="N557">
        <v>6</v>
      </c>
      <c r="O557">
        <v>1</v>
      </c>
    </row>
    <row r="558" spans="1:16" x14ac:dyDescent="0.2">
      <c r="A558" t="s">
        <v>341</v>
      </c>
      <c r="B558" t="s">
        <v>349</v>
      </c>
      <c r="C558" t="s">
        <v>670</v>
      </c>
      <c r="D558" t="s">
        <v>390</v>
      </c>
      <c r="E558">
        <v>2</v>
      </c>
      <c r="G558">
        <v>38.5</v>
      </c>
      <c r="M558">
        <v>2</v>
      </c>
    </row>
    <row r="559" spans="1:16" x14ac:dyDescent="0.2">
      <c r="A559" t="s">
        <v>341</v>
      </c>
      <c r="B559" t="s">
        <v>417</v>
      </c>
      <c r="C559" t="s">
        <v>670</v>
      </c>
      <c r="D559" t="s">
        <v>390</v>
      </c>
      <c r="E559">
        <v>19252</v>
      </c>
      <c r="F559">
        <v>4296</v>
      </c>
      <c r="G559">
        <v>93.76</v>
      </c>
      <c r="L559">
        <v>1134</v>
      </c>
      <c r="M559">
        <v>12003</v>
      </c>
      <c r="N559">
        <v>4932</v>
      </c>
      <c r="O559">
        <v>1009</v>
      </c>
      <c r="P559">
        <v>174</v>
      </c>
    </row>
    <row r="560" spans="1:16" x14ac:dyDescent="0.2">
      <c r="A560" t="s">
        <v>341</v>
      </c>
      <c r="B560" t="s">
        <v>346</v>
      </c>
      <c r="C560" t="s">
        <v>672</v>
      </c>
      <c r="D560" t="s">
        <v>390</v>
      </c>
      <c r="E560">
        <v>2513</v>
      </c>
      <c r="F560">
        <v>615</v>
      </c>
      <c r="G560">
        <v>100.51</v>
      </c>
      <c r="L560">
        <v>118</v>
      </c>
      <c r="M560">
        <v>1779</v>
      </c>
      <c r="N560">
        <v>504</v>
      </c>
      <c r="O560">
        <v>88</v>
      </c>
      <c r="P560">
        <v>24</v>
      </c>
    </row>
    <row r="561" spans="1:16" x14ac:dyDescent="0.2">
      <c r="A561" t="s">
        <v>341</v>
      </c>
      <c r="B561" t="s">
        <v>347</v>
      </c>
      <c r="C561" t="s">
        <v>672</v>
      </c>
      <c r="D561" t="s">
        <v>390</v>
      </c>
      <c r="E561">
        <v>316</v>
      </c>
      <c r="F561">
        <v>77</v>
      </c>
      <c r="G561">
        <v>98.18</v>
      </c>
      <c r="L561">
        <v>74</v>
      </c>
      <c r="M561">
        <v>155</v>
      </c>
      <c r="N561">
        <v>4</v>
      </c>
      <c r="O561">
        <v>78</v>
      </c>
      <c r="P561">
        <v>5</v>
      </c>
    </row>
    <row r="562" spans="1:16" x14ac:dyDescent="0.2">
      <c r="A562" t="s">
        <v>341</v>
      </c>
      <c r="B562" t="s">
        <v>348</v>
      </c>
      <c r="C562" t="s">
        <v>672</v>
      </c>
      <c r="D562" t="s">
        <v>390</v>
      </c>
      <c r="E562">
        <v>5</v>
      </c>
      <c r="G562">
        <v>44.6</v>
      </c>
      <c r="L562">
        <v>3</v>
      </c>
      <c r="M562">
        <v>1</v>
      </c>
      <c r="N562">
        <v>1</v>
      </c>
    </row>
    <row r="563" spans="1:16" x14ac:dyDescent="0.2">
      <c r="A563" t="s">
        <v>341</v>
      </c>
      <c r="B563" t="s">
        <v>417</v>
      </c>
      <c r="C563" t="s">
        <v>672</v>
      </c>
      <c r="D563" t="s">
        <v>390</v>
      </c>
      <c r="E563">
        <v>2834</v>
      </c>
      <c r="F563">
        <v>692</v>
      </c>
      <c r="G563">
        <v>100.15</v>
      </c>
      <c r="L563">
        <v>195</v>
      </c>
      <c r="M563">
        <v>1935</v>
      </c>
      <c r="N563">
        <v>509</v>
      </c>
      <c r="O563">
        <v>166</v>
      </c>
      <c r="P563">
        <v>29</v>
      </c>
    </row>
    <row r="564" spans="1:16" x14ac:dyDescent="0.2">
      <c r="A564" t="s">
        <v>341</v>
      </c>
      <c r="B564" t="s">
        <v>346</v>
      </c>
      <c r="C564" t="s">
        <v>675</v>
      </c>
      <c r="D564" t="s">
        <v>390</v>
      </c>
      <c r="E564">
        <v>5547</v>
      </c>
      <c r="F564">
        <v>1211</v>
      </c>
      <c r="G564">
        <v>93.7</v>
      </c>
      <c r="L564">
        <v>311</v>
      </c>
      <c r="M564">
        <v>3833</v>
      </c>
      <c r="N564">
        <v>1187</v>
      </c>
      <c r="O564">
        <v>174</v>
      </c>
      <c r="P564">
        <v>42</v>
      </c>
    </row>
    <row r="565" spans="1:16" x14ac:dyDescent="0.2">
      <c r="A565" t="s">
        <v>341</v>
      </c>
      <c r="B565" t="s">
        <v>347</v>
      </c>
      <c r="C565" t="s">
        <v>675</v>
      </c>
      <c r="D565" t="s">
        <v>390</v>
      </c>
      <c r="E565">
        <v>524</v>
      </c>
      <c r="F565">
        <v>96</v>
      </c>
      <c r="G565">
        <v>82.79</v>
      </c>
      <c r="L565">
        <v>196</v>
      </c>
      <c r="M565">
        <v>218</v>
      </c>
      <c r="N565">
        <v>5</v>
      </c>
      <c r="O565">
        <v>101</v>
      </c>
      <c r="P565">
        <v>4</v>
      </c>
    </row>
    <row r="566" spans="1:16" x14ac:dyDescent="0.2">
      <c r="A566" t="s">
        <v>341</v>
      </c>
      <c r="B566" t="s">
        <v>348</v>
      </c>
      <c r="C566" t="s">
        <v>675</v>
      </c>
      <c r="D566" t="s">
        <v>390</v>
      </c>
      <c r="E566">
        <v>20</v>
      </c>
      <c r="F566">
        <v>5</v>
      </c>
      <c r="G566">
        <v>78.400000000000006</v>
      </c>
      <c r="L566">
        <v>2</v>
      </c>
      <c r="M566">
        <v>13</v>
      </c>
      <c r="N566">
        <v>5</v>
      </c>
    </row>
    <row r="567" spans="1:16" x14ac:dyDescent="0.2">
      <c r="A567" t="s">
        <v>341</v>
      </c>
      <c r="B567" t="s">
        <v>417</v>
      </c>
      <c r="C567" t="s">
        <v>675</v>
      </c>
      <c r="D567" t="s">
        <v>390</v>
      </c>
      <c r="E567">
        <v>6091</v>
      </c>
      <c r="F567">
        <v>1312</v>
      </c>
      <c r="G567">
        <v>92.71</v>
      </c>
      <c r="L567">
        <v>509</v>
      </c>
      <c r="M567">
        <v>4064</v>
      </c>
      <c r="N567">
        <v>1197</v>
      </c>
      <c r="O567">
        <v>275</v>
      </c>
      <c r="P567">
        <v>46</v>
      </c>
    </row>
    <row r="568" spans="1:16" x14ac:dyDescent="0.2">
      <c r="A568" t="s">
        <v>341</v>
      </c>
      <c r="B568" t="s">
        <v>346</v>
      </c>
      <c r="C568" t="s">
        <v>681</v>
      </c>
      <c r="D568" t="s">
        <v>390</v>
      </c>
      <c r="E568">
        <v>1276</v>
      </c>
      <c r="F568">
        <v>285</v>
      </c>
      <c r="G568">
        <v>95.66</v>
      </c>
      <c r="L568">
        <v>66</v>
      </c>
      <c r="M568">
        <v>815</v>
      </c>
      <c r="N568">
        <v>321</v>
      </c>
      <c r="O568">
        <v>60</v>
      </c>
      <c r="P568">
        <v>14</v>
      </c>
    </row>
    <row r="569" spans="1:16" x14ac:dyDescent="0.2">
      <c r="A569" t="s">
        <v>341</v>
      </c>
      <c r="B569" t="s">
        <v>347</v>
      </c>
      <c r="C569" t="s">
        <v>681</v>
      </c>
      <c r="D569" t="s">
        <v>390</v>
      </c>
      <c r="E569">
        <v>102</v>
      </c>
      <c r="F569">
        <v>23</v>
      </c>
      <c r="G569">
        <v>98.78</v>
      </c>
      <c r="L569">
        <v>17</v>
      </c>
      <c r="M569">
        <v>49</v>
      </c>
      <c r="N569">
        <v>1</v>
      </c>
      <c r="O569">
        <v>30</v>
      </c>
      <c r="P569">
        <v>5</v>
      </c>
    </row>
    <row r="570" spans="1:16" x14ac:dyDescent="0.2">
      <c r="A570" t="s">
        <v>341</v>
      </c>
      <c r="B570" t="s">
        <v>348</v>
      </c>
      <c r="C570" t="s">
        <v>681</v>
      </c>
      <c r="D570" t="s">
        <v>390</v>
      </c>
      <c r="E570">
        <v>5</v>
      </c>
      <c r="G570">
        <v>75.8</v>
      </c>
      <c r="L570">
        <v>1</v>
      </c>
      <c r="M570">
        <v>2</v>
      </c>
      <c r="N570">
        <v>2</v>
      </c>
    </row>
    <row r="571" spans="1:16" x14ac:dyDescent="0.2">
      <c r="A571" t="s">
        <v>341</v>
      </c>
      <c r="B571" t="s">
        <v>417</v>
      </c>
      <c r="C571" t="s">
        <v>681</v>
      </c>
      <c r="D571" t="s">
        <v>390</v>
      </c>
      <c r="E571">
        <v>1383</v>
      </c>
      <c r="F571">
        <v>308</v>
      </c>
      <c r="G571">
        <v>95.82</v>
      </c>
      <c r="L571">
        <v>84</v>
      </c>
      <c r="M571">
        <v>866</v>
      </c>
      <c r="N571">
        <v>324</v>
      </c>
      <c r="O571">
        <v>90</v>
      </c>
      <c r="P571">
        <v>19</v>
      </c>
    </row>
    <row r="572" spans="1:16" x14ac:dyDescent="0.2">
      <c r="A572" t="s">
        <v>341</v>
      </c>
      <c r="B572" t="s">
        <v>346</v>
      </c>
      <c r="C572" t="s">
        <v>687</v>
      </c>
      <c r="D572" t="s">
        <v>390</v>
      </c>
      <c r="E572">
        <v>16712</v>
      </c>
      <c r="F572">
        <v>3814</v>
      </c>
      <c r="G572">
        <v>95.8</v>
      </c>
      <c r="L572">
        <v>894</v>
      </c>
      <c r="M572">
        <v>10641</v>
      </c>
      <c r="N572">
        <v>4271</v>
      </c>
      <c r="O572">
        <v>737</v>
      </c>
      <c r="P572">
        <v>169</v>
      </c>
    </row>
    <row r="573" spans="1:16" x14ac:dyDescent="0.2">
      <c r="A573" t="s">
        <v>341</v>
      </c>
      <c r="B573" t="s">
        <v>347</v>
      </c>
      <c r="C573" t="s">
        <v>687</v>
      </c>
      <c r="D573" t="s">
        <v>390</v>
      </c>
      <c r="E573">
        <v>1057</v>
      </c>
      <c r="F573">
        <v>250</v>
      </c>
      <c r="G573">
        <v>92.91</v>
      </c>
      <c r="L573">
        <v>298</v>
      </c>
      <c r="M573">
        <v>477</v>
      </c>
      <c r="N573">
        <v>8</v>
      </c>
      <c r="O573">
        <v>258</v>
      </c>
      <c r="P573">
        <v>16</v>
      </c>
    </row>
    <row r="574" spans="1:16" x14ac:dyDescent="0.2">
      <c r="A574" t="s">
        <v>341</v>
      </c>
      <c r="B574" t="s">
        <v>348</v>
      </c>
      <c r="C574" t="s">
        <v>687</v>
      </c>
      <c r="D574" t="s">
        <v>390</v>
      </c>
      <c r="E574">
        <v>25</v>
      </c>
      <c r="F574">
        <v>8</v>
      </c>
      <c r="G574">
        <v>110.52</v>
      </c>
      <c r="L574">
        <v>2</v>
      </c>
      <c r="M574">
        <v>18</v>
      </c>
      <c r="N574">
        <v>5</v>
      </c>
    </row>
    <row r="575" spans="1:16" x14ac:dyDescent="0.2">
      <c r="A575" t="s">
        <v>341</v>
      </c>
      <c r="B575" t="s">
        <v>417</v>
      </c>
      <c r="C575" t="s">
        <v>687</v>
      </c>
      <c r="D575" t="s">
        <v>390</v>
      </c>
      <c r="E575">
        <v>17794</v>
      </c>
      <c r="F575">
        <v>4072</v>
      </c>
      <c r="G575">
        <v>95.65</v>
      </c>
      <c r="L575">
        <v>1194</v>
      </c>
      <c r="M575">
        <v>11136</v>
      </c>
      <c r="N575">
        <v>4284</v>
      </c>
      <c r="O575">
        <v>995</v>
      </c>
      <c r="P575">
        <v>185</v>
      </c>
    </row>
    <row r="576" spans="1:16" x14ac:dyDescent="0.2">
      <c r="A576" t="s">
        <v>341</v>
      </c>
      <c r="B576" t="s">
        <v>346</v>
      </c>
      <c r="C576" t="s">
        <v>702</v>
      </c>
      <c r="D576" t="s">
        <v>390</v>
      </c>
      <c r="E576">
        <v>760</v>
      </c>
      <c r="F576">
        <v>164</v>
      </c>
      <c r="G576">
        <v>92.77</v>
      </c>
      <c r="L576">
        <v>44</v>
      </c>
      <c r="M576">
        <v>498</v>
      </c>
      <c r="N576">
        <v>172</v>
      </c>
      <c r="O576">
        <v>37</v>
      </c>
      <c r="P576">
        <v>9</v>
      </c>
    </row>
    <row r="577" spans="1:16" x14ac:dyDescent="0.2">
      <c r="A577" t="s">
        <v>341</v>
      </c>
      <c r="B577" t="s">
        <v>347</v>
      </c>
      <c r="C577" t="s">
        <v>702</v>
      </c>
      <c r="D577" t="s">
        <v>390</v>
      </c>
      <c r="E577">
        <v>62</v>
      </c>
      <c r="F577">
        <v>17</v>
      </c>
      <c r="G577">
        <v>101.24</v>
      </c>
      <c r="L577">
        <v>15</v>
      </c>
      <c r="M577">
        <v>31</v>
      </c>
      <c r="O577">
        <v>16</v>
      </c>
    </row>
    <row r="578" spans="1:16" x14ac:dyDescent="0.2">
      <c r="A578" t="s">
        <v>341</v>
      </c>
      <c r="B578" t="s">
        <v>417</v>
      </c>
      <c r="C578" t="s">
        <v>702</v>
      </c>
      <c r="D578" t="s">
        <v>390</v>
      </c>
      <c r="E578">
        <v>822</v>
      </c>
      <c r="F578">
        <v>181</v>
      </c>
      <c r="G578">
        <v>93.41</v>
      </c>
      <c r="L578">
        <v>59</v>
      </c>
      <c r="M578">
        <v>529</v>
      </c>
      <c r="N578">
        <v>172</v>
      </c>
      <c r="O578">
        <v>53</v>
      </c>
      <c r="P578">
        <v>9</v>
      </c>
    </row>
    <row r="579" spans="1:16" x14ac:dyDescent="0.2">
      <c r="A579" t="s">
        <v>341</v>
      </c>
      <c r="B579" t="s">
        <v>346</v>
      </c>
      <c r="C579" t="s">
        <v>703</v>
      </c>
      <c r="D579" t="s">
        <v>390</v>
      </c>
      <c r="E579">
        <v>9024</v>
      </c>
      <c r="F579">
        <v>1979</v>
      </c>
      <c r="G579">
        <v>96.39</v>
      </c>
      <c r="L579">
        <v>476</v>
      </c>
      <c r="M579">
        <v>5802</v>
      </c>
      <c r="N579">
        <v>2300</v>
      </c>
      <c r="O579">
        <v>367</v>
      </c>
      <c r="P579">
        <v>79</v>
      </c>
    </row>
    <row r="580" spans="1:16" x14ac:dyDescent="0.2">
      <c r="A580" t="s">
        <v>341</v>
      </c>
      <c r="B580" t="s">
        <v>347</v>
      </c>
      <c r="C580" t="s">
        <v>703</v>
      </c>
      <c r="D580" t="s">
        <v>390</v>
      </c>
      <c r="E580">
        <v>710</v>
      </c>
      <c r="F580">
        <v>186</v>
      </c>
      <c r="G580">
        <v>98.2</v>
      </c>
      <c r="L580">
        <v>197</v>
      </c>
      <c r="M580">
        <v>328</v>
      </c>
      <c r="N580">
        <v>4</v>
      </c>
      <c r="O580">
        <v>170</v>
      </c>
      <c r="P580">
        <v>11</v>
      </c>
    </row>
    <row r="581" spans="1:16" x14ac:dyDescent="0.2">
      <c r="A581" t="s">
        <v>341</v>
      </c>
      <c r="B581" t="s">
        <v>348</v>
      </c>
      <c r="C581" t="s">
        <v>703</v>
      </c>
      <c r="D581" t="s">
        <v>390</v>
      </c>
      <c r="E581">
        <v>14</v>
      </c>
      <c r="F581">
        <v>1</v>
      </c>
      <c r="G581">
        <v>74.930000000000007</v>
      </c>
      <c r="L581">
        <v>2</v>
      </c>
      <c r="M581">
        <v>8</v>
      </c>
      <c r="N581">
        <v>3</v>
      </c>
      <c r="P581">
        <v>1</v>
      </c>
    </row>
    <row r="582" spans="1:16" x14ac:dyDescent="0.2">
      <c r="A582" t="s">
        <v>341</v>
      </c>
      <c r="B582" t="s">
        <v>417</v>
      </c>
      <c r="C582" t="s">
        <v>703</v>
      </c>
      <c r="D582" t="s">
        <v>390</v>
      </c>
      <c r="E582">
        <v>9748</v>
      </c>
      <c r="F582">
        <v>2166</v>
      </c>
      <c r="G582">
        <v>96.49</v>
      </c>
      <c r="L582">
        <v>675</v>
      </c>
      <c r="M582">
        <v>6138</v>
      </c>
      <c r="N582">
        <v>2307</v>
      </c>
      <c r="O582">
        <v>537</v>
      </c>
      <c r="P582">
        <v>91</v>
      </c>
    </row>
    <row r="583" spans="1:16" x14ac:dyDescent="0.2">
      <c r="A583" t="s">
        <v>341</v>
      </c>
      <c r="B583" t="s">
        <v>346</v>
      </c>
      <c r="C583" t="s">
        <v>705</v>
      </c>
      <c r="D583" t="s">
        <v>390</v>
      </c>
      <c r="E583">
        <v>9638</v>
      </c>
      <c r="F583">
        <v>1863</v>
      </c>
      <c r="G583">
        <v>88.19</v>
      </c>
      <c r="L583">
        <v>508</v>
      </c>
      <c r="M583">
        <v>6191</v>
      </c>
      <c r="N583">
        <v>2461</v>
      </c>
      <c r="O583">
        <v>398</v>
      </c>
      <c r="P583">
        <v>80</v>
      </c>
    </row>
    <row r="584" spans="1:16" x14ac:dyDescent="0.2">
      <c r="A584" t="s">
        <v>341</v>
      </c>
      <c r="B584" t="s">
        <v>347</v>
      </c>
      <c r="C584" t="s">
        <v>705</v>
      </c>
      <c r="D584" t="s">
        <v>390</v>
      </c>
      <c r="E584">
        <v>775</v>
      </c>
      <c r="F584">
        <v>121</v>
      </c>
      <c r="G584">
        <v>81.92</v>
      </c>
      <c r="L584">
        <v>259</v>
      </c>
      <c r="M584">
        <v>326</v>
      </c>
      <c r="N584">
        <v>7</v>
      </c>
      <c r="O584">
        <v>176</v>
      </c>
      <c r="P584">
        <v>7</v>
      </c>
    </row>
    <row r="585" spans="1:16" x14ac:dyDescent="0.2">
      <c r="A585" t="s">
        <v>341</v>
      </c>
      <c r="B585" t="s">
        <v>348</v>
      </c>
      <c r="C585" t="s">
        <v>705</v>
      </c>
      <c r="D585" t="s">
        <v>390</v>
      </c>
      <c r="E585">
        <v>12</v>
      </c>
      <c r="F585">
        <v>1</v>
      </c>
      <c r="G585">
        <v>73.17</v>
      </c>
      <c r="L585">
        <v>1</v>
      </c>
      <c r="M585">
        <v>10</v>
      </c>
      <c r="N585">
        <v>1</v>
      </c>
    </row>
    <row r="586" spans="1:16" x14ac:dyDescent="0.2">
      <c r="A586" t="s">
        <v>341</v>
      </c>
      <c r="B586" t="s">
        <v>417</v>
      </c>
      <c r="C586" t="s">
        <v>705</v>
      </c>
      <c r="D586" t="s">
        <v>390</v>
      </c>
      <c r="E586">
        <v>10425</v>
      </c>
      <c r="F586">
        <v>1985</v>
      </c>
      <c r="G586">
        <v>87.71</v>
      </c>
      <c r="L586">
        <v>768</v>
      </c>
      <c r="M586">
        <v>6527</v>
      </c>
      <c r="N586">
        <v>2469</v>
      </c>
      <c r="O586">
        <v>574</v>
      </c>
      <c r="P586">
        <v>87</v>
      </c>
    </row>
    <row r="587" spans="1:16" x14ac:dyDescent="0.2">
      <c r="A587" t="s">
        <v>341</v>
      </c>
      <c r="B587" t="s">
        <v>346</v>
      </c>
      <c r="C587" t="s">
        <v>710</v>
      </c>
      <c r="D587" t="s">
        <v>390</v>
      </c>
      <c r="E587">
        <v>6619</v>
      </c>
      <c r="F587">
        <v>1356</v>
      </c>
      <c r="G587">
        <v>93.75</v>
      </c>
      <c r="L587">
        <v>307</v>
      </c>
      <c r="M587">
        <v>4164</v>
      </c>
      <c r="N587">
        <v>1779</v>
      </c>
      <c r="O587">
        <v>304</v>
      </c>
      <c r="P587">
        <v>65</v>
      </c>
    </row>
    <row r="588" spans="1:16" x14ac:dyDescent="0.2">
      <c r="A588" t="s">
        <v>341</v>
      </c>
      <c r="B588" t="s">
        <v>347</v>
      </c>
      <c r="C588" t="s">
        <v>710</v>
      </c>
      <c r="D588" t="s">
        <v>390</v>
      </c>
      <c r="E588">
        <v>523</v>
      </c>
      <c r="F588">
        <v>169</v>
      </c>
      <c r="G588">
        <v>106.07</v>
      </c>
      <c r="L588">
        <v>99</v>
      </c>
      <c r="M588">
        <v>292</v>
      </c>
      <c r="N588">
        <v>6</v>
      </c>
      <c r="O588">
        <v>118</v>
      </c>
      <c r="P588">
        <v>8</v>
      </c>
    </row>
    <row r="589" spans="1:16" x14ac:dyDescent="0.2">
      <c r="A589" t="s">
        <v>341</v>
      </c>
      <c r="B589" t="s">
        <v>348</v>
      </c>
      <c r="C589" t="s">
        <v>710</v>
      </c>
      <c r="D589" t="s">
        <v>390</v>
      </c>
      <c r="E589">
        <v>12</v>
      </c>
      <c r="F589">
        <v>2</v>
      </c>
      <c r="G589">
        <v>76.83</v>
      </c>
      <c r="L589">
        <v>1</v>
      </c>
      <c r="M589">
        <v>9</v>
      </c>
      <c r="N589">
        <v>2</v>
      </c>
    </row>
    <row r="590" spans="1:16" x14ac:dyDescent="0.2">
      <c r="A590" t="s">
        <v>341</v>
      </c>
      <c r="B590" t="s">
        <v>417</v>
      </c>
      <c r="C590" t="s">
        <v>710</v>
      </c>
      <c r="D590" t="s">
        <v>390</v>
      </c>
      <c r="E590">
        <v>7154</v>
      </c>
      <c r="F590">
        <v>1527</v>
      </c>
      <c r="G590">
        <v>94.62</v>
      </c>
      <c r="L590">
        <v>407</v>
      </c>
      <c r="M590">
        <v>4465</v>
      </c>
      <c r="N590">
        <v>1787</v>
      </c>
      <c r="O590">
        <v>422</v>
      </c>
      <c r="P590">
        <v>73</v>
      </c>
    </row>
    <row r="591" spans="1:16" x14ac:dyDescent="0.2">
      <c r="A591" t="s">
        <v>341</v>
      </c>
      <c r="B591" t="s">
        <v>346</v>
      </c>
      <c r="C591" t="s">
        <v>664</v>
      </c>
      <c r="D591" t="s">
        <v>390</v>
      </c>
      <c r="E591">
        <v>8273</v>
      </c>
      <c r="F591">
        <v>1765</v>
      </c>
      <c r="G591">
        <v>91.49</v>
      </c>
      <c r="L591">
        <v>436</v>
      </c>
      <c r="M591">
        <v>5254</v>
      </c>
      <c r="N591">
        <v>2172</v>
      </c>
      <c r="O591">
        <v>349</v>
      </c>
      <c r="P591">
        <v>62</v>
      </c>
    </row>
    <row r="592" spans="1:16" x14ac:dyDescent="0.2">
      <c r="A592" t="s">
        <v>341</v>
      </c>
      <c r="B592" t="s">
        <v>347</v>
      </c>
      <c r="C592" t="s">
        <v>664</v>
      </c>
      <c r="D592" t="s">
        <v>390</v>
      </c>
      <c r="E592">
        <v>834</v>
      </c>
      <c r="F592">
        <v>131</v>
      </c>
      <c r="G592">
        <v>76.86</v>
      </c>
      <c r="L592">
        <v>313</v>
      </c>
      <c r="M592">
        <v>336</v>
      </c>
      <c r="N592">
        <v>5</v>
      </c>
      <c r="O592">
        <v>171</v>
      </c>
      <c r="P592">
        <v>9</v>
      </c>
    </row>
    <row r="593" spans="1:16" x14ac:dyDescent="0.2">
      <c r="A593" t="s">
        <v>341</v>
      </c>
      <c r="B593" t="s">
        <v>348</v>
      </c>
      <c r="C593" t="s">
        <v>664</v>
      </c>
      <c r="D593" t="s">
        <v>390</v>
      </c>
      <c r="E593">
        <v>18</v>
      </c>
      <c r="F593">
        <v>4</v>
      </c>
      <c r="G593">
        <v>199.17</v>
      </c>
      <c r="L593">
        <v>2</v>
      </c>
      <c r="M593">
        <v>10</v>
      </c>
      <c r="N593">
        <v>5</v>
      </c>
      <c r="O593">
        <v>1</v>
      </c>
    </row>
    <row r="594" spans="1:16" x14ac:dyDescent="0.2">
      <c r="A594" t="s">
        <v>341</v>
      </c>
      <c r="B594" t="s">
        <v>349</v>
      </c>
      <c r="C594" t="s">
        <v>664</v>
      </c>
      <c r="D594" t="s">
        <v>390</v>
      </c>
      <c r="E594">
        <v>1</v>
      </c>
      <c r="F594">
        <v>1</v>
      </c>
      <c r="G594">
        <v>562</v>
      </c>
      <c r="M594">
        <v>1</v>
      </c>
    </row>
    <row r="595" spans="1:16" x14ac:dyDescent="0.2">
      <c r="A595" t="s">
        <v>341</v>
      </c>
      <c r="B595" t="s">
        <v>417</v>
      </c>
      <c r="C595" t="s">
        <v>664</v>
      </c>
      <c r="D595" t="s">
        <v>390</v>
      </c>
      <c r="E595">
        <v>9126</v>
      </c>
      <c r="F595">
        <v>1901</v>
      </c>
      <c r="G595">
        <v>90.42</v>
      </c>
      <c r="L595">
        <v>751</v>
      </c>
      <c r="M595">
        <v>5601</v>
      </c>
      <c r="N595">
        <v>2182</v>
      </c>
      <c r="O595">
        <v>521</v>
      </c>
      <c r="P595">
        <v>71</v>
      </c>
    </row>
    <row r="596" spans="1:16" x14ac:dyDescent="0.2">
      <c r="A596" t="s">
        <v>341</v>
      </c>
      <c r="B596" t="s">
        <v>346</v>
      </c>
      <c r="C596" t="s">
        <v>667</v>
      </c>
      <c r="D596" t="s">
        <v>390</v>
      </c>
      <c r="E596">
        <v>32782</v>
      </c>
      <c r="F596">
        <v>7498</v>
      </c>
      <c r="G596">
        <v>97</v>
      </c>
      <c r="L596">
        <v>1519</v>
      </c>
      <c r="M596">
        <v>22212</v>
      </c>
      <c r="N596">
        <v>7477</v>
      </c>
      <c r="O596">
        <v>1279</v>
      </c>
      <c r="P596">
        <v>295</v>
      </c>
    </row>
    <row r="597" spans="1:16" x14ac:dyDescent="0.2">
      <c r="A597" t="s">
        <v>341</v>
      </c>
      <c r="B597" t="s">
        <v>347</v>
      </c>
      <c r="C597" t="s">
        <v>667</v>
      </c>
      <c r="D597" t="s">
        <v>390</v>
      </c>
      <c r="E597">
        <v>2394</v>
      </c>
      <c r="F597">
        <v>624</v>
      </c>
      <c r="G597">
        <v>96.32</v>
      </c>
      <c r="L597">
        <v>629</v>
      </c>
      <c r="M597">
        <v>1167</v>
      </c>
      <c r="N597">
        <v>15</v>
      </c>
      <c r="O597">
        <v>542</v>
      </c>
      <c r="P597">
        <v>41</v>
      </c>
    </row>
    <row r="598" spans="1:16" x14ac:dyDescent="0.2">
      <c r="A598" t="s">
        <v>341</v>
      </c>
      <c r="B598" t="s">
        <v>348</v>
      </c>
      <c r="C598" t="s">
        <v>667</v>
      </c>
      <c r="D598" t="s">
        <v>390</v>
      </c>
      <c r="E598">
        <v>62</v>
      </c>
      <c r="F598">
        <v>9</v>
      </c>
      <c r="G598">
        <v>77.95</v>
      </c>
      <c r="L598">
        <v>10</v>
      </c>
      <c r="M598">
        <v>34</v>
      </c>
      <c r="N598">
        <v>17</v>
      </c>
      <c r="O598">
        <v>1</v>
      </c>
    </row>
    <row r="599" spans="1:16" x14ac:dyDescent="0.2">
      <c r="A599" t="s">
        <v>341</v>
      </c>
      <c r="B599" t="s">
        <v>349</v>
      </c>
      <c r="C599" t="s">
        <v>667</v>
      </c>
      <c r="D599" t="s">
        <v>390</v>
      </c>
      <c r="E599">
        <v>4</v>
      </c>
      <c r="F599">
        <v>1</v>
      </c>
      <c r="G599">
        <v>56.25</v>
      </c>
      <c r="M599">
        <v>3</v>
      </c>
      <c r="N599">
        <v>1</v>
      </c>
    </row>
    <row r="600" spans="1:16" x14ac:dyDescent="0.2">
      <c r="A600" t="s">
        <v>341</v>
      </c>
      <c r="B600" t="s">
        <v>417</v>
      </c>
      <c r="C600" t="s">
        <v>667</v>
      </c>
      <c r="D600" t="s">
        <v>390</v>
      </c>
      <c r="E600">
        <v>35242</v>
      </c>
      <c r="F600">
        <v>8132</v>
      </c>
      <c r="G600">
        <v>96.91</v>
      </c>
      <c r="L600">
        <v>2158</v>
      </c>
      <c r="M600">
        <v>23416</v>
      </c>
      <c r="N600">
        <v>7510</v>
      </c>
      <c r="O600">
        <v>1822</v>
      </c>
      <c r="P600">
        <v>336</v>
      </c>
    </row>
    <row r="601" spans="1:16" x14ac:dyDescent="0.2">
      <c r="A601" t="s">
        <v>341</v>
      </c>
      <c r="B601" t="s">
        <v>346</v>
      </c>
      <c r="C601" t="s">
        <v>668</v>
      </c>
      <c r="D601" t="s">
        <v>390</v>
      </c>
      <c r="E601">
        <v>6658</v>
      </c>
      <c r="F601">
        <v>1277</v>
      </c>
      <c r="G601">
        <v>88.56</v>
      </c>
      <c r="L601">
        <v>331</v>
      </c>
      <c r="M601">
        <v>4133</v>
      </c>
      <c r="N601">
        <v>1862</v>
      </c>
      <c r="O601">
        <v>269</v>
      </c>
      <c r="P601">
        <v>63</v>
      </c>
    </row>
    <row r="602" spans="1:16" x14ac:dyDescent="0.2">
      <c r="A602" t="s">
        <v>341</v>
      </c>
      <c r="B602" t="s">
        <v>347</v>
      </c>
      <c r="C602" t="s">
        <v>668</v>
      </c>
      <c r="D602" t="s">
        <v>390</v>
      </c>
      <c r="E602">
        <v>384</v>
      </c>
      <c r="F602">
        <v>94</v>
      </c>
      <c r="G602">
        <v>94.99</v>
      </c>
      <c r="L602">
        <v>106</v>
      </c>
      <c r="M602">
        <v>194</v>
      </c>
      <c r="N602">
        <v>1</v>
      </c>
      <c r="O602">
        <v>75</v>
      </c>
      <c r="P602">
        <v>8</v>
      </c>
    </row>
    <row r="603" spans="1:16" x14ac:dyDescent="0.2">
      <c r="A603" t="s">
        <v>341</v>
      </c>
      <c r="B603" t="s">
        <v>348</v>
      </c>
      <c r="C603" t="s">
        <v>668</v>
      </c>
      <c r="D603" t="s">
        <v>390</v>
      </c>
      <c r="E603">
        <v>8</v>
      </c>
      <c r="F603">
        <v>2</v>
      </c>
      <c r="G603">
        <v>118.25</v>
      </c>
      <c r="M603">
        <v>7</v>
      </c>
      <c r="N603">
        <v>1</v>
      </c>
    </row>
    <row r="604" spans="1:16" x14ac:dyDescent="0.2">
      <c r="A604" t="s">
        <v>341</v>
      </c>
      <c r="B604" t="s">
        <v>417</v>
      </c>
      <c r="C604" t="s">
        <v>668</v>
      </c>
      <c r="D604" t="s">
        <v>390</v>
      </c>
      <c r="E604">
        <v>7050</v>
      </c>
      <c r="F604">
        <v>1373</v>
      </c>
      <c r="G604">
        <v>88.95</v>
      </c>
      <c r="L604">
        <v>437</v>
      </c>
      <c r="M604">
        <v>4334</v>
      </c>
      <c r="N604">
        <v>1864</v>
      </c>
      <c r="O604">
        <v>344</v>
      </c>
      <c r="P604">
        <v>71</v>
      </c>
    </row>
    <row r="605" spans="1:16" x14ac:dyDescent="0.2">
      <c r="A605" t="s">
        <v>341</v>
      </c>
      <c r="B605" t="s">
        <v>346</v>
      </c>
      <c r="C605" t="s">
        <v>646</v>
      </c>
      <c r="D605" t="s">
        <v>390</v>
      </c>
      <c r="E605">
        <v>905</v>
      </c>
      <c r="F605">
        <v>244</v>
      </c>
      <c r="G605">
        <v>107.3</v>
      </c>
      <c r="L605">
        <v>50</v>
      </c>
      <c r="M605">
        <v>618</v>
      </c>
      <c r="N605">
        <v>193</v>
      </c>
      <c r="O605">
        <v>35</v>
      </c>
      <c r="P605">
        <v>9</v>
      </c>
    </row>
    <row r="606" spans="1:16" x14ac:dyDescent="0.2">
      <c r="A606" t="s">
        <v>341</v>
      </c>
      <c r="B606" t="s">
        <v>347</v>
      </c>
      <c r="C606" t="s">
        <v>646</v>
      </c>
      <c r="D606" t="s">
        <v>390</v>
      </c>
      <c r="E606">
        <v>70</v>
      </c>
      <c r="F606">
        <v>16</v>
      </c>
      <c r="G606">
        <v>109</v>
      </c>
      <c r="L606">
        <v>15</v>
      </c>
      <c r="M606">
        <v>33</v>
      </c>
      <c r="O606">
        <v>22</v>
      </c>
    </row>
    <row r="607" spans="1:16" x14ac:dyDescent="0.2">
      <c r="A607" t="s">
        <v>341</v>
      </c>
      <c r="B607" t="s">
        <v>417</v>
      </c>
      <c r="C607" t="s">
        <v>646</v>
      </c>
      <c r="D607" t="s">
        <v>390</v>
      </c>
      <c r="E607">
        <v>975</v>
      </c>
      <c r="F607">
        <v>260</v>
      </c>
      <c r="G607">
        <v>107.42</v>
      </c>
      <c r="L607">
        <v>65</v>
      </c>
      <c r="M607">
        <v>651</v>
      </c>
      <c r="N607">
        <v>193</v>
      </c>
      <c r="O607">
        <v>57</v>
      </c>
      <c r="P607">
        <v>9</v>
      </c>
    </row>
    <row r="608" spans="1:16" x14ac:dyDescent="0.2">
      <c r="A608" t="s">
        <v>341</v>
      </c>
      <c r="B608" t="s">
        <v>346</v>
      </c>
      <c r="C608" t="s">
        <v>669</v>
      </c>
      <c r="D608" t="s">
        <v>390</v>
      </c>
      <c r="E608">
        <v>26085</v>
      </c>
      <c r="F608">
        <v>5759</v>
      </c>
      <c r="G608">
        <v>94.96</v>
      </c>
      <c r="L608">
        <v>1331</v>
      </c>
      <c r="M608">
        <v>17373</v>
      </c>
      <c r="N608">
        <v>6139</v>
      </c>
      <c r="O608">
        <v>1011</v>
      </c>
      <c r="P608">
        <v>231</v>
      </c>
    </row>
    <row r="609" spans="1:16" x14ac:dyDescent="0.2">
      <c r="A609" t="s">
        <v>341</v>
      </c>
      <c r="B609" t="s">
        <v>347</v>
      </c>
      <c r="C609" t="s">
        <v>669</v>
      </c>
      <c r="D609" t="s">
        <v>390</v>
      </c>
      <c r="E609">
        <v>2242</v>
      </c>
      <c r="F609">
        <v>576</v>
      </c>
      <c r="G609">
        <v>97.68</v>
      </c>
      <c r="L609">
        <v>576</v>
      </c>
      <c r="M609">
        <v>1069</v>
      </c>
      <c r="N609">
        <v>16</v>
      </c>
      <c r="O609">
        <v>551</v>
      </c>
      <c r="P609">
        <v>30</v>
      </c>
    </row>
    <row r="610" spans="1:16" x14ac:dyDescent="0.2">
      <c r="A610" t="s">
        <v>341</v>
      </c>
      <c r="B610" t="s">
        <v>348</v>
      </c>
      <c r="C610" t="s">
        <v>669</v>
      </c>
      <c r="D610" t="s">
        <v>390</v>
      </c>
      <c r="E610">
        <v>50</v>
      </c>
      <c r="F610">
        <v>13</v>
      </c>
      <c r="G610">
        <v>114.8</v>
      </c>
      <c r="L610">
        <v>8</v>
      </c>
      <c r="M610">
        <v>26</v>
      </c>
      <c r="N610">
        <v>16</v>
      </c>
    </row>
    <row r="611" spans="1:16" x14ac:dyDescent="0.2">
      <c r="A611" t="s">
        <v>341</v>
      </c>
      <c r="B611" t="s">
        <v>349</v>
      </c>
      <c r="C611" t="s">
        <v>669</v>
      </c>
      <c r="D611" t="s">
        <v>390</v>
      </c>
      <c r="E611">
        <v>3</v>
      </c>
      <c r="F611">
        <v>1</v>
      </c>
      <c r="G611">
        <v>66.67</v>
      </c>
      <c r="M611">
        <v>3</v>
      </c>
    </row>
    <row r="612" spans="1:16" x14ac:dyDescent="0.2">
      <c r="A612" t="s">
        <v>341</v>
      </c>
      <c r="B612" t="s">
        <v>417</v>
      </c>
      <c r="C612" t="s">
        <v>669</v>
      </c>
      <c r="D612" t="s">
        <v>390</v>
      </c>
      <c r="E612">
        <v>28380</v>
      </c>
      <c r="F612">
        <v>6349</v>
      </c>
      <c r="G612">
        <v>95.21</v>
      </c>
      <c r="L612">
        <v>1915</v>
      </c>
      <c r="M612">
        <v>18471</v>
      </c>
      <c r="N612">
        <v>6171</v>
      </c>
      <c r="O612">
        <v>1562</v>
      </c>
      <c r="P612">
        <v>261</v>
      </c>
    </row>
    <row r="613" spans="1:16" x14ac:dyDescent="0.2">
      <c r="A613" t="s">
        <v>341</v>
      </c>
      <c r="B613" t="s">
        <v>346</v>
      </c>
      <c r="C613" t="s">
        <v>676</v>
      </c>
      <c r="D613" t="s">
        <v>390</v>
      </c>
      <c r="E613">
        <v>2391</v>
      </c>
      <c r="F613">
        <v>520</v>
      </c>
      <c r="G613">
        <v>93.91</v>
      </c>
      <c r="L613">
        <v>113</v>
      </c>
      <c r="M613">
        <v>1617</v>
      </c>
      <c r="N613">
        <v>561</v>
      </c>
      <c r="O613">
        <v>83</v>
      </c>
      <c r="P613">
        <v>17</v>
      </c>
    </row>
    <row r="614" spans="1:16" x14ac:dyDescent="0.2">
      <c r="A614" t="s">
        <v>341</v>
      </c>
      <c r="B614" t="s">
        <v>347</v>
      </c>
      <c r="C614" t="s">
        <v>676</v>
      </c>
      <c r="D614" t="s">
        <v>390</v>
      </c>
      <c r="E614">
        <v>336</v>
      </c>
      <c r="F614">
        <v>85</v>
      </c>
      <c r="G614">
        <v>103.57</v>
      </c>
      <c r="L614">
        <v>84</v>
      </c>
      <c r="M614">
        <v>170</v>
      </c>
      <c r="N614">
        <v>3</v>
      </c>
      <c r="O614">
        <v>71</v>
      </c>
      <c r="P614">
        <v>8</v>
      </c>
    </row>
    <row r="615" spans="1:16" x14ac:dyDescent="0.2">
      <c r="A615" t="s">
        <v>341</v>
      </c>
      <c r="B615" t="s">
        <v>348</v>
      </c>
      <c r="C615" t="s">
        <v>676</v>
      </c>
      <c r="D615" t="s">
        <v>390</v>
      </c>
      <c r="E615">
        <v>1</v>
      </c>
      <c r="G615">
        <v>66</v>
      </c>
      <c r="M615">
        <v>1</v>
      </c>
    </row>
    <row r="616" spans="1:16" x14ac:dyDescent="0.2">
      <c r="A616" t="s">
        <v>341</v>
      </c>
      <c r="B616" t="s">
        <v>417</v>
      </c>
      <c r="C616" t="s">
        <v>676</v>
      </c>
      <c r="D616" t="s">
        <v>390</v>
      </c>
      <c r="E616">
        <v>2728</v>
      </c>
      <c r="F616">
        <v>605</v>
      </c>
      <c r="G616">
        <v>95.09</v>
      </c>
      <c r="L616">
        <v>197</v>
      </c>
      <c r="M616">
        <v>1788</v>
      </c>
      <c r="N616">
        <v>564</v>
      </c>
      <c r="O616">
        <v>154</v>
      </c>
      <c r="P616">
        <v>25</v>
      </c>
    </row>
    <row r="617" spans="1:16" x14ac:dyDescent="0.2">
      <c r="A617" t="s">
        <v>341</v>
      </c>
      <c r="B617" t="s">
        <v>346</v>
      </c>
      <c r="C617" t="s">
        <v>678</v>
      </c>
      <c r="D617" t="s">
        <v>390</v>
      </c>
      <c r="E617">
        <v>6189</v>
      </c>
      <c r="F617">
        <v>1401</v>
      </c>
      <c r="G617">
        <v>97.92</v>
      </c>
      <c r="L617">
        <v>312</v>
      </c>
      <c r="M617">
        <v>4012</v>
      </c>
      <c r="N617">
        <v>1551</v>
      </c>
      <c r="O617">
        <v>256</v>
      </c>
      <c r="P617">
        <v>58</v>
      </c>
    </row>
    <row r="618" spans="1:16" x14ac:dyDescent="0.2">
      <c r="A618" t="s">
        <v>341</v>
      </c>
      <c r="B618" t="s">
        <v>347</v>
      </c>
      <c r="C618" t="s">
        <v>678</v>
      </c>
      <c r="D618" t="s">
        <v>390</v>
      </c>
      <c r="E618">
        <v>559</v>
      </c>
      <c r="F618">
        <v>85</v>
      </c>
      <c r="G618">
        <v>77.33</v>
      </c>
      <c r="L618">
        <v>231</v>
      </c>
      <c r="M618">
        <v>216</v>
      </c>
      <c r="O618">
        <v>110</v>
      </c>
      <c r="P618">
        <v>2</v>
      </c>
    </row>
    <row r="619" spans="1:16" x14ac:dyDescent="0.2">
      <c r="A619" t="s">
        <v>341</v>
      </c>
      <c r="B619" t="s">
        <v>348</v>
      </c>
      <c r="C619" t="s">
        <v>678</v>
      </c>
      <c r="D619" t="s">
        <v>390</v>
      </c>
      <c r="E619">
        <v>8</v>
      </c>
      <c r="F619">
        <v>1</v>
      </c>
      <c r="G619">
        <v>69.13</v>
      </c>
      <c r="M619">
        <v>6</v>
      </c>
      <c r="N619">
        <v>2</v>
      </c>
    </row>
    <row r="620" spans="1:16" x14ac:dyDescent="0.2">
      <c r="A620" t="s">
        <v>341</v>
      </c>
      <c r="B620" t="s">
        <v>417</v>
      </c>
      <c r="C620" t="s">
        <v>678</v>
      </c>
      <c r="D620" t="s">
        <v>390</v>
      </c>
      <c r="E620">
        <v>6756</v>
      </c>
      <c r="F620">
        <v>1487</v>
      </c>
      <c r="G620">
        <v>96.18</v>
      </c>
      <c r="L620">
        <v>543</v>
      </c>
      <c r="M620">
        <v>4234</v>
      </c>
      <c r="N620">
        <v>1553</v>
      </c>
      <c r="O620">
        <v>366</v>
      </c>
      <c r="P620">
        <v>60</v>
      </c>
    </row>
    <row r="621" spans="1:16" x14ac:dyDescent="0.2">
      <c r="A621" t="s">
        <v>341</v>
      </c>
      <c r="B621" t="s">
        <v>346</v>
      </c>
      <c r="C621" t="s">
        <v>679</v>
      </c>
      <c r="D621" t="s">
        <v>390</v>
      </c>
      <c r="E621">
        <v>3567</v>
      </c>
      <c r="F621">
        <v>815</v>
      </c>
      <c r="G621">
        <v>95.63</v>
      </c>
      <c r="L621">
        <v>202</v>
      </c>
      <c r="M621">
        <v>2508</v>
      </c>
      <c r="N621">
        <v>700</v>
      </c>
      <c r="O621">
        <v>117</v>
      </c>
      <c r="P621">
        <v>40</v>
      </c>
    </row>
    <row r="622" spans="1:16" x14ac:dyDescent="0.2">
      <c r="A622" t="s">
        <v>341</v>
      </c>
      <c r="B622" t="s">
        <v>347</v>
      </c>
      <c r="C622" t="s">
        <v>679</v>
      </c>
      <c r="D622" t="s">
        <v>390</v>
      </c>
      <c r="E622">
        <v>320</v>
      </c>
      <c r="F622">
        <v>85</v>
      </c>
      <c r="G622">
        <v>103.61</v>
      </c>
      <c r="L622">
        <v>83</v>
      </c>
      <c r="M622">
        <v>172</v>
      </c>
      <c r="N622">
        <v>2</v>
      </c>
      <c r="O622">
        <v>58</v>
      </c>
      <c r="P622">
        <v>5</v>
      </c>
    </row>
    <row r="623" spans="1:16" x14ac:dyDescent="0.2">
      <c r="A623" t="s">
        <v>341</v>
      </c>
      <c r="B623" t="s">
        <v>348</v>
      </c>
      <c r="C623" t="s">
        <v>679</v>
      </c>
      <c r="D623" t="s">
        <v>390</v>
      </c>
      <c r="E623">
        <v>9</v>
      </c>
      <c r="F623">
        <v>4</v>
      </c>
      <c r="G623">
        <v>114</v>
      </c>
      <c r="L623">
        <v>1</v>
      </c>
      <c r="M623">
        <v>7</v>
      </c>
      <c r="N623">
        <v>1</v>
      </c>
    </row>
    <row r="624" spans="1:16" x14ac:dyDescent="0.2">
      <c r="A624" t="s">
        <v>341</v>
      </c>
      <c r="B624" t="s">
        <v>417</v>
      </c>
      <c r="C624" t="s">
        <v>679</v>
      </c>
      <c r="D624" t="s">
        <v>390</v>
      </c>
      <c r="E624">
        <v>3896</v>
      </c>
      <c r="F624">
        <v>904</v>
      </c>
      <c r="G624">
        <v>96.33</v>
      </c>
      <c r="L624">
        <v>286</v>
      </c>
      <c r="M624">
        <v>2687</v>
      </c>
      <c r="N624">
        <v>703</v>
      </c>
      <c r="O624">
        <v>175</v>
      </c>
      <c r="P624">
        <v>45</v>
      </c>
    </row>
    <row r="625" spans="1:16" x14ac:dyDescent="0.2">
      <c r="A625" t="s">
        <v>341</v>
      </c>
      <c r="B625" t="s">
        <v>346</v>
      </c>
      <c r="C625" t="s">
        <v>691</v>
      </c>
      <c r="D625" t="s">
        <v>390</v>
      </c>
      <c r="E625">
        <v>4238</v>
      </c>
      <c r="F625">
        <v>1048</v>
      </c>
      <c r="G625">
        <v>99.61</v>
      </c>
      <c r="L625">
        <v>167</v>
      </c>
      <c r="M625">
        <v>3047</v>
      </c>
      <c r="N625">
        <v>848</v>
      </c>
      <c r="O625">
        <v>141</v>
      </c>
      <c r="P625">
        <v>35</v>
      </c>
    </row>
    <row r="626" spans="1:16" x14ac:dyDescent="0.2">
      <c r="A626" t="s">
        <v>341</v>
      </c>
      <c r="B626" t="s">
        <v>347</v>
      </c>
      <c r="C626" t="s">
        <v>691</v>
      </c>
      <c r="D626" t="s">
        <v>390</v>
      </c>
      <c r="E626">
        <v>530</v>
      </c>
      <c r="F626">
        <v>135</v>
      </c>
      <c r="G626">
        <v>95.99</v>
      </c>
      <c r="L626">
        <v>137</v>
      </c>
      <c r="M626">
        <v>246</v>
      </c>
      <c r="N626">
        <v>2</v>
      </c>
      <c r="O626">
        <v>138</v>
      </c>
      <c r="P626">
        <v>7</v>
      </c>
    </row>
    <row r="627" spans="1:16" x14ac:dyDescent="0.2">
      <c r="A627" t="s">
        <v>341</v>
      </c>
      <c r="B627" t="s">
        <v>348</v>
      </c>
      <c r="C627" t="s">
        <v>691</v>
      </c>
      <c r="D627" t="s">
        <v>390</v>
      </c>
      <c r="E627">
        <v>4</v>
      </c>
      <c r="F627">
        <v>2</v>
      </c>
      <c r="G627">
        <v>225</v>
      </c>
      <c r="M627">
        <v>3</v>
      </c>
      <c r="P627">
        <v>1</v>
      </c>
    </row>
    <row r="628" spans="1:16" x14ac:dyDescent="0.2">
      <c r="A628" t="s">
        <v>341</v>
      </c>
      <c r="B628" t="s">
        <v>349</v>
      </c>
      <c r="C628" t="s">
        <v>691</v>
      </c>
      <c r="D628" t="s">
        <v>390</v>
      </c>
      <c r="E628">
        <v>1</v>
      </c>
      <c r="G628">
        <v>34</v>
      </c>
      <c r="M628">
        <v>1</v>
      </c>
    </row>
    <row r="629" spans="1:16" x14ac:dyDescent="0.2">
      <c r="A629" t="s">
        <v>341</v>
      </c>
      <c r="B629" t="s">
        <v>417</v>
      </c>
      <c r="C629" t="s">
        <v>691</v>
      </c>
      <c r="D629" t="s">
        <v>390</v>
      </c>
      <c r="E629">
        <v>4773</v>
      </c>
      <c r="F629">
        <v>1185</v>
      </c>
      <c r="G629">
        <v>99.3</v>
      </c>
      <c r="L629">
        <v>304</v>
      </c>
      <c r="M629">
        <v>3297</v>
      </c>
      <c r="N629">
        <v>850</v>
      </c>
      <c r="O629">
        <v>279</v>
      </c>
      <c r="P629">
        <v>43</v>
      </c>
    </row>
    <row r="630" spans="1:16" x14ac:dyDescent="0.2">
      <c r="A630" t="s">
        <v>341</v>
      </c>
      <c r="B630" t="s">
        <v>346</v>
      </c>
      <c r="C630" t="s">
        <v>695</v>
      </c>
      <c r="D630" t="s">
        <v>390</v>
      </c>
      <c r="E630">
        <v>9772</v>
      </c>
      <c r="F630">
        <v>2061</v>
      </c>
      <c r="G630">
        <v>92.01</v>
      </c>
      <c r="L630">
        <v>540</v>
      </c>
      <c r="M630">
        <v>6567</v>
      </c>
      <c r="N630">
        <v>2179</v>
      </c>
      <c r="O630">
        <v>381</v>
      </c>
      <c r="P630">
        <v>105</v>
      </c>
    </row>
    <row r="631" spans="1:16" x14ac:dyDescent="0.2">
      <c r="A631" t="s">
        <v>341</v>
      </c>
      <c r="B631" t="s">
        <v>347</v>
      </c>
      <c r="C631" t="s">
        <v>695</v>
      </c>
      <c r="D631" t="s">
        <v>390</v>
      </c>
      <c r="E631">
        <v>1067</v>
      </c>
      <c r="F631">
        <v>186</v>
      </c>
      <c r="G631">
        <v>85.07</v>
      </c>
      <c r="L631">
        <v>358</v>
      </c>
      <c r="M631">
        <v>473</v>
      </c>
      <c r="N631">
        <v>6</v>
      </c>
      <c r="O631">
        <v>221</v>
      </c>
      <c r="P631">
        <v>9</v>
      </c>
    </row>
    <row r="632" spans="1:16" x14ac:dyDescent="0.2">
      <c r="A632" t="s">
        <v>341</v>
      </c>
      <c r="B632" t="s">
        <v>348</v>
      </c>
      <c r="C632" t="s">
        <v>695</v>
      </c>
      <c r="D632" t="s">
        <v>390</v>
      </c>
      <c r="E632">
        <v>17</v>
      </c>
      <c r="F632">
        <v>3</v>
      </c>
      <c r="G632">
        <v>112.35</v>
      </c>
      <c r="L632">
        <v>2</v>
      </c>
      <c r="M632">
        <v>11</v>
      </c>
      <c r="N632">
        <v>4</v>
      </c>
    </row>
    <row r="633" spans="1:16" x14ac:dyDescent="0.2">
      <c r="A633" t="s">
        <v>341</v>
      </c>
      <c r="B633" t="s">
        <v>417</v>
      </c>
      <c r="C633" t="s">
        <v>695</v>
      </c>
      <c r="D633" t="s">
        <v>390</v>
      </c>
      <c r="E633">
        <v>10856</v>
      </c>
      <c r="F633">
        <v>2250</v>
      </c>
      <c r="G633">
        <v>91.36</v>
      </c>
      <c r="L633">
        <v>900</v>
      </c>
      <c r="M633">
        <v>7051</v>
      </c>
      <c r="N633">
        <v>2189</v>
      </c>
      <c r="O633">
        <v>602</v>
      </c>
      <c r="P633">
        <v>114</v>
      </c>
    </row>
    <row r="634" spans="1:16" x14ac:dyDescent="0.2">
      <c r="A634" t="s">
        <v>341</v>
      </c>
      <c r="B634" t="s">
        <v>346</v>
      </c>
      <c r="C634" t="s">
        <v>697</v>
      </c>
      <c r="D634" t="s">
        <v>390</v>
      </c>
      <c r="E634">
        <v>4492</v>
      </c>
      <c r="F634">
        <v>832</v>
      </c>
      <c r="G634">
        <v>86.25</v>
      </c>
      <c r="L634">
        <v>202</v>
      </c>
      <c r="M634">
        <v>2995</v>
      </c>
      <c r="N634">
        <v>1088</v>
      </c>
      <c r="O634">
        <v>165</v>
      </c>
      <c r="P634">
        <v>42</v>
      </c>
    </row>
    <row r="635" spans="1:16" x14ac:dyDescent="0.2">
      <c r="A635" t="s">
        <v>341</v>
      </c>
      <c r="B635" t="s">
        <v>347</v>
      </c>
      <c r="C635" t="s">
        <v>697</v>
      </c>
      <c r="D635" t="s">
        <v>390</v>
      </c>
      <c r="E635">
        <v>392</v>
      </c>
      <c r="F635">
        <v>102</v>
      </c>
      <c r="G635">
        <v>100.7</v>
      </c>
      <c r="L635">
        <v>96</v>
      </c>
      <c r="M635">
        <v>194</v>
      </c>
      <c r="N635">
        <v>5</v>
      </c>
      <c r="O635">
        <v>90</v>
      </c>
      <c r="P635">
        <v>7</v>
      </c>
    </row>
    <row r="636" spans="1:16" x14ac:dyDescent="0.2">
      <c r="A636" t="s">
        <v>341</v>
      </c>
      <c r="B636" t="s">
        <v>348</v>
      </c>
      <c r="C636" t="s">
        <v>697</v>
      </c>
      <c r="D636" t="s">
        <v>390</v>
      </c>
      <c r="E636">
        <v>6</v>
      </c>
      <c r="F636">
        <v>1</v>
      </c>
      <c r="G636">
        <v>85.67</v>
      </c>
      <c r="M636">
        <v>4</v>
      </c>
      <c r="N636">
        <v>2</v>
      </c>
    </row>
    <row r="637" spans="1:16" x14ac:dyDescent="0.2">
      <c r="A637" t="s">
        <v>341</v>
      </c>
      <c r="B637" t="s">
        <v>417</v>
      </c>
      <c r="C637" t="s">
        <v>697</v>
      </c>
      <c r="D637" t="s">
        <v>390</v>
      </c>
      <c r="E637">
        <v>4890</v>
      </c>
      <c r="F637">
        <v>935</v>
      </c>
      <c r="G637">
        <v>87.41</v>
      </c>
      <c r="L637">
        <v>298</v>
      </c>
      <c r="M637">
        <v>3193</v>
      </c>
      <c r="N637">
        <v>1095</v>
      </c>
      <c r="O637">
        <v>255</v>
      </c>
      <c r="P637">
        <v>49</v>
      </c>
    </row>
    <row r="638" spans="1:16" x14ac:dyDescent="0.2">
      <c r="A638" t="s">
        <v>341</v>
      </c>
      <c r="B638" t="s">
        <v>346</v>
      </c>
      <c r="C638" t="s">
        <v>699</v>
      </c>
      <c r="D638" t="s">
        <v>390</v>
      </c>
      <c r="E638">
        <v>8662</v>
      </c>
      <c r="F638">
        <v>2012</v>
      </c>
      <c r="G638">
        <v>96.54</v>
      </c>
      <c r="L638">
        <v>428</v>
      </c>
      <c r="M638">
        <v>5968</v>
      </c>
      <c r="N638">
        <v>1887</v>
      </c>
      <c r="O638">
        <v>299</v>
      </c>
      <c r="P638">
        <v>80</v>
      </c>
    </row>
    <row r="639" spans="1:16" x14ac:dyDescent="0.2">
      <c r="A639" t="s">
        <v>341</v>
      </c>
      <c r="B639" t="s">
        <v>347</v>
      </c>
      <c r="C639" t="s">
        <v>699</v>
      </c>
      <c r="D639" t="s">
        <v>390</v>
      </c>
      <c r="E639">
        <v>1292</v>
      </c>
      <c r="F639">
        <v>340</v>
      </c>
      <c r="G639">
        <v>96.3</v>
      </c>
      <c r="L639">
        <v>357</v>
      </c>
      <c r="M639">
        <v>637</v>
      </c>
      <c r="N639">
        <v>9</v>
      </c>
      <c r="O639">
        <v>274</v>
      </c>
      <c r="P639">
        <v>15</v>
      </c>
    </row>
    <row r="640" spans="1:16" x14ac:dyDescent="0.2">
      <c r="A640" t="s">
        <v>341</v>
      </c>
      <c r="B640" t="s">
        <v>348</v>
      </c>
      <c r="C640" t="s">
        <v>699</v>
      </c>
      <c r="D640" t="s">
        <v>390</v>
      </c>
      <c r="E640">
        <v>11</v>
      </c>
      <c r="F640">
        <v>5</v>
      </c>
      <c r="G640">
        <v>125.64</v>
      </c>
      <c r="M640">
        <v>6</v>
      </c>
      <c r="N640">
        <v>3</v>
      </c>
      <c r="O640">
        <v>2</v>
      </c>
    </row>
    <row r="641" spans="1:16" x14ac:dyDescent="0.2">
      <c r="A641" t="s">
        <v>341</v>
      </c>
      <c r="B641" t="s">
        <v>349</v>
      </c>
      <c r="C641" t="s">
        <v>699</v>
      </c>
      <c r="D641" t="s">
        <v>390</v>
      </c>
      <c r="E641">
        <v>1</v>
      </c>
      <c r="F641">
        <v>1</v>
      </c>
      <c r="G641">
        <v>440</v>
      </c>
      <c r="M641">
        <v>1</v>
      </c>
    </row>
    <row r="642" spans="1:16" x14ac:dyDescent="0.2">
      <c r="A642" t="s">
        <v>341</v>
      </c>
      <c r="B642" t="s">
        <v>417</v>
      </c>
      <c r="C642" t="s">
        <v>699</v>
      </c>
      <c r="D642" t="s">
        <v>390</v>
      </c>
      <c r="E642">
        <v>9966</v>
      </c>
      <c r="F642">
        <v>2358</v>
      </c>
      <c r="G642">
        <v>96.58</v>
      </c>
      <c r="L642">
        <v>785</v>
      </c>
      <c r="M642">
        <v>6612</v>
      </c>
      <c r="N642">
        <v>1899</v>
      </c>
      <c r="O642">
        <v>575</v>
      </c>
      <c r="P642">
        <v>95</v>
      </c>
    </row>
    <row r="643" spans="1:16" x14ac:dyDescent="0.2">
      <c r="A643" t="s">
        <v>341</v>
      </c>
      <c r="B643" t="s">
        <v>346</v>
      </c>
      <c r="C643" t="s">
        <v>706</v>
      </c>
      <c r="D643" t="s">
        <v>390</v>
      </c>
      <c r="E643">
        <v>38587</v>
      </c>
      <c r="F643">
        <v>7373</v>
      </c>
      <c r="G643">
        <v>87.43</v>
      </c>
      <c r="L643">
        <v>2065</v>
      </c>
      <c r="M643">
        <v>23580</v>
      </c>
      <c r="N643">
        <v>11118</v>
      </c>
      <c r="O643">
        <v>1493</v>
      </c>
      <c r="P643">
        <v>331</v>
      </c>
    </row>
    <row r="644" spans="1:16" x14ac:dyDescent="0.2">
      <c r="A644" t="s">
        <v>341</v>
      </c>
      <c r="B644" t="s">
        <v>347</v>
      </c>
      <c r="C644" t="s">
        <v>706</v>
      </c>
      <c r="D644" t="s">
        <v>390</v>
      </c>
      <c r="E644">
        <v>2234</v>
      </c>
      <c r="F644">
        <v>588</v>
      </c>
      <c r="G644">
        <v>96.4</v>
      </c>
      <c r="L644">
        <v>581</v>
      </c>
      <c r="M644">
        <v>1068</v>
      </c>
      <c r="N644">
        <v>13</v>
      </c>
      <c r="O644">
        <v>528</v>
      </c>
      <c r="P644">
        <v>44</v>
      </c>
    </row>
    <row r="645" spans="1:16" x14ac:dyDescent="0.2">
      <c r="A645" t="s">
        <v>341</v>
      </c>
      <c r="B645" t="s">
        <v>348</v>
      </c>
      <c r="C645" t="s">
        <v>706</v>
      </c>
      <c r="D645" t="s">
        <v>390</v>
      </c>
      <c r="E645">
        <v>47</v>
      </c>
      <c r="F645">
        <v>13</v>
      </c>
      <c r="G645">
        <v>102.96</v>
      </c>
      <c r="L645">
        <v>5</v>
      </c>
      <c r="M645">
        <v>30</v>
      </c>
      <c r="N645">
        <v>9</v>
      </c>
      <c r="O645">
        <v>3</v>
      </c>
    </row>
    <row r="646" spans="1:16" x14ac:dyDescent="0.2">
      <c r="A646" t="s">
        <v>341</v>
      </c>
      <c r="B646" t="s">
        <v>417</v>
      </c>
      <c r="C646" t="s">
        <v>706</v>
      </c>
      <c r="D646" t="s">
        <v>390</v>
      </c>
      <c r="E646">
        <v>40868</v>
      </c>
      <c r="F646">
        <v>7974</v>
      </c>
      <c r="G646">
        <v>87.93</v>
      </c>
      <c r="L646">
        <v>2651</v>
      </c>
      <c r="M646">
        <v>24678</v>
      </c>
      <c r="N646">
        <v>11140</v>
      </c>
      <c r="O646">
        <v>2024</v>
      </c>
      <c r="P646">
        <v>375</v>
      </c>
    </row>
    <row r="647" spans="1:16" x14ac:dyDescent="0.2">
      <c r="A647" t="s">
        <v>341</v>
      </c>
      <c r="B647" t="s">
        <v>346</v>
      </c>
      <c r="C647" t="s">
        <v>711</v>
      </c>
      <c r="D647" t="s">
        <v>390</v>
      </c>
      <c r="E647">
        <v>4006</v>
      </c>
      <c r="F647">
        <v>893</v>
      </c>
      <c r="G647">
        <v>97.67</v>
      </c>
      <c r="L647">
        <v>172</v>
      </c>
      <c r="M647">
        <v>2741</v>
      </c>
      <c r="N647">
        <v>861</v>
      </c>
      <c r="O647">
        <v>200</v>
      </c>
      <c r="P647">
        <v>32</v>
      </c>
    </row>
    <row r="648" spans="1:16" x14ac:dyDescent="0.2">
      <c r="A648" t="s">
        <v>341</v>
      </c>
      <c r="B648" t="s">
        <v>347</v>
      </c>
      <c r="C648" t="s">
        <v>711</v>
      </c>
      <c r="D648" t="s">
        <v>390</v>
      </c>
      <c r="E648">
        <v>339</v>
      </c>
      <c r="F648">
        <v>44</v>
      </c>
      <c r="G648">
        <v>78.94</v>
      </c>
      <c r="L648">
        <v>113</v>
      </c>
      <c r="M648">
        <v>166</v>
      </c>
      <c r="N648">
        <v>1</v>
      </c>
      <c r="O648">
        <v>55</v>
      </c>
      <c r="P648">
        <v>4</v>
      </c>
    </row>
    <row r="649" spans="1:16" x14ac:dyDescent="0.2">
      <c r="A649" t="s">
        <v>341</v>
      </c>
      <c r="B649" t="s">
        <v>348</v>
      </c>
      <c r="C649" t="s">
        <v>711</v>
      </c>
      <c r="D649" t="s">
        <v>390</v>
      </c>
      <c r="E649">
        <v>6</v>
      </c>
      <c r="F649">
        <v>2</v>
      </c>
      <c r="G649">
        <v>215.33</v>
      </c>
      <c r="M649">
        <v>3</v>
      </c>
      <c r="N649">
        <v>2</v>
      </c>
      <c r="O649">
        <v>1</v>
      </c>
    </row>
    <row r="650" spans="1:16" x14ac:dyDescent="0.2">
      <c r="A650" t="s">
        <v>341</v>
      </c>
      <c r="B650" t="s">
        <v>417</v>
      </c>
      <c r="C650" t="s">
        <v>711</v>
      </c>
      <c r="D650" t="s">
        <v>390</v>
      </c>
      <c r="E650">
        <v>4351</v>
      </c>
      <c r="F650">
        <v>939</v>
      </c>
      <c r="G650">
        <v>96.37</v>
      </c>
      <c r="L650">
        <v>285</v>
      </c>
      <c r="M650">
        <v>2910</v>
      </c>
      <c r="N650">
        <v>864</v>
      </c>
      <c r="O650">
        <v>256</v>
      </c>
      <c r="P650">
        <v>36</v>
      </c>
    </row>
    <row r="651" spans="1:16" x14ac:dyDescent="0.2">
      <c r="A651" t="s">
        <v>341</v>
      </c>
      <c r="B651" t="s">
        <v>346</v>
      </c>
      <c r="C651" t="s">
        <v>666</v>
      </c>
      <c r="D651" t="s">
        <v>390</v>
      </c>
      <c r="E651">
        <v>6904</v>
      </c>
      <c r="F651">
        <v>1565</v>
      </c>
      <c r="G651">
        <v>97.28</v>
      </c>
      <c r="L651">
        <v>310</v>
      </c>
      <c r="M651">
        <v>4650</v>
      </c>
      <c r="N651">
        <v>1602</v>
      </c>
      <c r="O651">
        <v>271</v>
      </c>
      <c r="P651">
        <v>71</v>
      </c>
    </row>
    <row r="652" spans="1:16" x14ac:dyDescent="0.2">
      <c r="A652" t="s">
        <v>341</v>
      </c>
      <c r="B652" t="s">
        <v>347</v>
      </c>
      <c r="C652" t="s">
        <v>666</v>
      </c>
      <c r="D652" t="s">
        <v>390</v>
      </c>
      <c r="E652">
        <v>732</v>
      </c>
      <c r="F652">
        <v>187</v>
      </c>
      <c r="G652">
        <v>98.51</v>
      </c>
      <c r="L652">
        <v>181</v>
      </c>
      <c r="M652">
        <v>380</v>
      </c>
      <c r="N652">
        <v>9</v>
      </c>
      <c r="O652">
        <v>150</v>
      </c>
      <c r="P652">
        <v>12</v>
      </c>
    </row>
    <row r="653" spans="1:16" x14ac:dyDescent="0.2">
      <c r="A653" t="s">
        <v>341</v>
      </c>
      <c r="B653" t="s">
        <v>348</v>
      </c>
      <c r="C653" t="s">
        <v>666</v>
      </c>
      <c r="D653" t="s">
        <v>390</v>
      </c>
      <c r="E653">
        <v>6</v>
      </c>
      <c r="F653">
        <v>4</v>
      </c>
      <c r="G653">
        <v>410.17</v>
      </c>
      <c r="M653">
        <v>3</v>
      </c>
      <c r="N653">
        <v>2</v>
      </c>
      <c r="O653">
        <v>1</v>
      </c>
    </row>
    <row r="654" spans="1:16" x14ac:dyDescent="0.2">
      <c r="A654" t="s">
        <v>341</v>
      </c>
      <c r="B654" t="s">
        <v>417</v>
      </c>
      <c r="C654" t="s">
        <v>666</v>
      </c>
      <c r="D654" t="s">
        <v>390</v>
      </c>
      <c r="E654">
        <v>7642</v>
      </c>
      <c r="F654">
        <v>1756</v>
      </c>
      <c r="G654">
        <v>97.64</v>
      </c>
      <c r="L654">
        <v>491</v>
      </c>
      <c r="M654">
        <v>5033</v>
      </c>
      <c r="N654">
        <v>1613</v>
      </c>
      <c r="O654">
        <v>422</v>
      </c>
      <c r="P654">
        <v>83</v>
      </c>
    </row>
    <row r="655" spans="1:16" x14ac:dyDescent="0.2">
      <c r="A655" t="s">
        <v>341</v>
      </c>
      <c r="B655" t="s">
        <v>346</v>
      </c>
      <c r="C655" t="s">
        <v>647</v>
      </c>
      <c r="D655" t="s">
        <v>390</v>
      </c>
      <c r="E655">
        <v>479</v>
      </c>
      <c r="F655">
        <v>137</v>
      </c>
      <c r="G655">
        <v>113.67</v>
      </c>
      <c r="L655">
        <v>20</v>
      </c>
      <c r="M655">
        <v>343</v>
      </c>
      <c r="N655">
        <v>97</v>
      </c>
      <c r="O655">
        <v>14</v>
      </c>
      <c r="P655">
        <v>5</v>
      </c>
    </row>
    <row r="656" spans="1:16" x14ac:dyDescent="0.2">
      <c r="A656" t="s">
        <v>341</v>
      </c>
      <c r="B656" t="s">
        <v>347</v>
      </c>
      <c r="C656" t="s">
        <v>647</v>
      </c>
      <c r="D656" t="s">
        <v>390</v>
      </c>
      <c r="E656">
        <v>34</v>
      </c>
      <c r="F656">
        <v>5</v>
      </c>
      <c r="G656">
        <v>89.38</v>
      </c>
      <c r="L656">
        <v>14</v>
      </c>
      <c r="M656">
        <v>12</v>
      </c>
      <c r="O656">
        <v>8</v>
      </c>
    </row>
    <row r="657" spans="1:16" x14ac:dyDescent="0.2">
      <c r="A657" t="s">
        <v>341</v>
      </c>
      <c r="B657" t="s">
        <v>348</v>
      </c>
      <c r="C657" t="s">
        <v>647</v>
      </c>
      <c r="D657" t="s">
        <v>390</v>
      </c>
      <c r="E657">
        <v>2</v>
      </c>
      <c r="G657">
        <v>68</v>
      </c>
      <c r="M657">
        <v>1</v>
      </c>
      <c r="N657">
        <v>1</v>
      </c>
    </row>
    <row r="658" spans="1:16" x14ac:dyDescent="0.2">
      <c r="A658" t="s">
        <v>341</v>
      </c>
      <c r="B658" t="s">
        <v>417</v>
      </c>
      <c r="C658" t="s">
        <v>647</v>
      </c>
      <c r="D658" t="s">
        <v>390</v>
      </c>
      <c r="E658">
        <v>515</v>
      </c>
      <c r="F658">
        <v>142</v>
      </c>
      <c r="G658">
        <v>111.89</v>
      </c>
      <c r="L658">
        <v>34</v>
      </c>
      <c r="M658">
        <v>356</v>
      </c>
      <c r="N658">
        <v>98</v>
      </c>
      <c r="O658">
        <v>22</v>
      </c>
      <c r="P658">
        <v>5</v>
      </c>
    </row>
    <row r="659" spans="1:16" x14ac:dyDescent="0.2">
      <c r="A659" t="s">
        <v>341</v>
      </c>
      <c r="B659" t="s">
        <v>346</v>
      </c>
      <c r="C659" t="s">
        <v>671</v>
      </c>
      <c r="D659" t="s">
        <v>390</v>
      </c>
      <c r="E659">
        <v>2039</v>
      </c>
      <c r="F659">
        <v>518</v>
      </c>
      <c r="G659">
        <v>100.41</v>
      </c>
      <c r="L659">
        <v>103</v>
      </c>
      <c r="M659">
        <v>1467</v>
      </c>
      <c r="N659">
        <v>385</v>
      </c>
      <c r="O659">
        <v>71</v>
      </c>
      <c r="P659">
        <v>13</v>
      </c>
    </row>
    <row r="660" spans="1:16" x14ac:dyDescent="0.2">
      <c r="A660" t="s">
        <v>341</v>
      </c>
      <c r="B660" t="s">
        <v>347</v>
      </c>
      <c r="C660" t="s">
        <v>671</v>
      </c>
      <c r="D660" t="s">
        <v>390</v>
      </c>
      <c r="E660">
        <v>70</v>
      </c>
      <c r="F660">
        <v>19</v>
      </c>
      <c r="G660">
        <v>105.33</v>
      </c>
      <c r="L660">
        <v>12</v>
      </c>
      <c r="M660">
        <v>46</v>
      </c>
      <c r="O660">
        <v>10</v>
      </c>
      <c r="P660">
        <v>2</v>
      </c>
    </row>
    <row r="661" spans="1:16" x14ac:dyDescent="0.2">
      <c r="A661" t="s">
        <v>341</v>
      </c>
      <c r="B661" t="s">
        <v>348</v>
      </c>
      <c r="C661" t="s">
        <v>671</v>
      </c>
      <c r="D661" t="s">
        <v>390</v>
      </c>
      <c r="E661">
        <v>3</v>
      </c>
      <c r="G661">
        <v>56</v>
      </c>
      <c r="L661">
        <v>1</v>
      </c>
      <c r="M661">
        <v>2</v>
      </c>
    </row>
    <row r="662" spans="1:16" x14ac:dyDescent="0.2">
      <c r="A662" t="s">
        <v>341</v>
      </c>
      <c r="B662" t="s">
        <v>417</v>
      </c>
      <c r="C662" t="s">
        <v>671</v>
      </c>
      <c r="D662" t="s">
        <v>390</v>
      </c>
      <c r="E662">
        <v>2112</v>
      </c>
      <c r="F662">
        <v>537</v>
      </c>
      <c r="G662">
        <v>100.51</v>
      </c>
      <c r="L662">
        <v>116</v>
      </c>
      <c r="M662">
        <v>1515</v>
      </c>
      <c r="N662">
        <v>385</v>
      </c>
      <c r="O662">
        <v>81</v>
      </c>
      <c r="P662">
        <v>15</v>
      </c>
    </row>
    <row r="663" spans="1:16" x14ac:dyDescent="0.2">
      <c r="A663" t="s">
        <v>341</v>
      </c>
      <c r="B663" t="s">
        <v>346</v>
      </c>
      <c r="C663" t="s">
        <v>677</v>
      </c>
      <c r="D663" t="s">
        <v>390</v>
      </c>
      <c r="E663">
        <v>4403</v>
      </c>
      <c r="F663">
        <v>892</v>
      </c>
      <c r="G663">
        <v>96.28</v>
      </c>
      <c r="L663">
        <v>235</v>
      </c>
      <c r="M663">
        <v>2889</v>
      </c>
      <c r="N663">
        <v>1064</v>
      </c>
      <c r="O663">
        <v>178</v>
      </c>
      <c r="P663">
        <v>37</v>
      </c>
    </row>
    <row r="664" spans="1:16" x14ac:dyDescent="0.2">
      <c r="A664" t="s">
        <v>341</v>
      </c>
      <c r="B664" t="s">
        <v>347</v>
      </c>
      <c r="C664" t="s">
        <v>677</v>
      </c>
      <c r="D664" t="s">
        <v>390</v>
      </c>
      <c r="E664">
        <v>386</v>
      </c>
      <c r="F664">
        <v>62</v>
      </c>
      <c r="G664">
        <v>84.29</v>
      </c>
      <c r="L664">
        <v>141</v>
      </c>
      <c r="M664">
        <v>150</v>
      </c>
      <c r="N664">
        <v>2</v>
      </c>
      <c r="O664">
        <v>91</v>
      </c>
      <c r="P664">
        <v>2</v>
      </c>
    </row>
    <row r="665" spans="1:16" x14ac:dyDescent="0.2">
      <c r="A665" t="s">
        <v>341</v>
      </c>
      <c r="B665" t="s">
        <v>348</v>
      </c>
      <c r="C665" t="s">
        <v>677</v>
      </c>
      <c r="D665" t="s">
        <v>390</v>
      </c>
      <c r="E665">
        <v>17</v>
      </c>
      <c r="F665">
        <v>2</v>
      </c>
      <c r="G665">
        <v>56.41</v>
      </c>
      <c r="L665">
        <v>1</v>
      </c>
      <c r="M665">
        <v>14</v>
      </c>
      <c r="N665">
        <v>1</v>
      </c>
      <c r="O665">
        <v>1</v>
      </c>
    </row>
    <row r="666" spans="1:16" x14ac:dyDescent="0.2">
      <c r="A666" t="s">
        <v>341</v>
      </c>
      <c r="B666" t="s">
        <v>349</v>
      </c>
      <c r="C666" t="s">
        <v>677</v>
      </c>
      <c r="D666" t="s">
        <v>390</v>
      </c>
      <c r="E666">
        <v>1</v>
      </c>
      <c r="F666">
        <v>1</v>
      </c>
      <c r="G666">
        <v>681</v>
      </c>
      <c r="N666">
        <v>1</v>
      </c>
    </row>
    <row r="667" spans="1:16" x14ac:dyDescent="0.2">
      <c r="A667" t="s">
        <v>341</v>
      </c>
      <c r="B667" t="s">
        <v>417</v>
      </c>
      <c r="C667" t="s">
        <v>677</v>
      </c>
      <c r="D667" t="s">
        <v>390</v>
      </c>
      <c r="E667">
        <v>4807</v>
      </c>
      <c r="F667">
        <v>957</v>
      </c>
      <c r="G667">
        <v>95.3</v>
      </c>
      <c r="L667">
        <v>377</v>
      </c>
      <c r="M667">
        <v>3053</v>
      </c>
      <c r="N667">
        <v>1068</v>
      </c>
      <c r="O667">
        <v>270</v>
      </c>
      <c r="P667">
        <v>39</v>
      </c>
    </row>
    <row r="668" spans="1:16" x14ac:dyDescent="0.2">
      <c r="A668" t="s">
        <v>341</v>
      </c>
      <c r="B668" t="s">
        <v>346</v>
      </c>
      <c r="C668" t="s">
        <v>680</v>
      </c>
      <c r="D668" t="s">
        <v>390</v>
      </c>
      <c r="E668">
        <v>6675</v>
      </c>
      <c r="F668">
        <v>1616</v>
      </c>
      <c r="G668">
        <v>99.1</v>
      </c>
      <c r="L668">
        <v>313</v>
      </c>
      <c r="M668">
        <v>4222</v>
      </c>
      <c r="N668">
        <v>1812</v>
      </c>
      <c r="O668">
        <v>269</v>
      </c>
      <c r="P668">
        <v>59</v>
      </c>
    </row>
    <row r="669" spans="1:16" x14ac:dyDescent="0.2">
      <c r="A669" t="s">
        <v>341</v>
      </c>
      <c r="B669" t="s">
        <v>347</v>
      </c>
      <c r="C669" t="s">
        <v>680</v>
      </c>
      <c r="D669" t="s">
        <v>390</v>
      </c>
      <c r="E669">
        <v>410</v>
      </c>
      <c r="F669">
        <v>117</v>
      </c>
      <c r="G669">
        <v>100.07</v>
      </c>
      <c r="L669">
        <v>101</v>
      </c>
      <c r="M669">
        <v>197</v>
      </c>
      <c r="N669">
        <v>3</v>
      </c>
      <c r="O669">
        <v>101</v>
      </c>
      <c r="P669">
        <v>8</v>
      </c>
    </row>
    <row r="670" spans="1:16" x14ac:dyDescent="0.2">
      <c r="A670" t="s">
        <v>341</v>
      </c>
      <c r="B670" t="s">
        <v>348</v>
      </c>
      <c r="C670" t="s">
        <v>680</v>
      </c>
      <c r="D670" t="s">
        <v>390</v>
      </c>
      <c r="E670">
        <v>19</v>
      </c>
      <c r="F670">
        <v>10</v>
      </c>
      <c r="G670">
        <v>138.88999999999999</v>
      </c>
      <c r="L670">
        <v>1</v>
      </c>
      <c r="M670">
        <v>11</v>
      </c>
      <c r="N670">
        <v>5</v>
      </c>
      <c r="O670">
        <v>1</v>
      </c>
      <c r="P670">
        <v>1</v>
      </c>
    </row>
    <row r="671" spans="1:16" x14ac:dyDescent="0.2">
      <c r="A671" t="s">
        <v>341</v>
      </c>
      <c r="B671" t="s">
        <v>349</v>
      </c>
      <c r="C671" t="s">
        <v>680</v>
      </c>
      <c r="D671" t="s">
        <v>390</v>
      </c>
      <c r="E671">
        <v>2</v>
      </c>
      <c r="F671">
        <v>1</v>
      </c>
      <c r="G671">
        <v>212.5</v>
      </c>
      <c r="M671">
        <v>2</v>
      </c>
    </row>
    <row r="672" spans="1:16" x14ac:dyDescent="0.2">
      <c r="A672" t="s">
        <v>341</v>
      </c>
      <c r="B672" t="s">
        <v>417</v>
      </c>
      <c r="C672" t="s">
        <v>680</v>
      </c>
      <c r="D672" t="s">
        <v>390</v>
      </c>
      <c r="E672">
        <v>7106</v>
      </c>
      <c r="F672">
        <v>1744</v>
      </c>
      <c r="G672">
        <v>99.3</v>
      </c>
      <c r="L672">
        <v>415</v>
      </c>
      <c r="M672">
        <v>4432</v>
      </c>
      <c r="N672">
        <v>1820</v>
      </c>
      <c r="O672">
        <v>371</v>
      </c>
      <c r="P672">
        <v>68</v>
      </c>
    </row>
    <row r="673" spans="1:16" x14ac:dyDescent="0.2">
      <c r="A673" t="s">
        <v>341</v>
      </c>
      <c r="B673" t="s">
        <v>346</v>
      </c>
      <c r="C673" t="s">
        <v>684</v>
      </c>
      <c r="D673" t="s">
        <v>390</v>
      </c>
      <c r="E673">
        <v>5783</v>
      </c>
      <c r="F673">
        <v>1317</v>
      </c>
      <c r="G673">
        <v>96.96</v>
      </c>
      <c r="L673">
        <v>292</v>
      </c>
      <c r="M673">
        <v>3935</v>
      </c>
      <c r="N673">
        <v>1269</v>
      </c>
      <c r="O673">
        <v>236</v>
      </c>
      <c r="P673">
        <v>51</v>
      </c>
    </row>
    <row r="674" spans="1:16" x14ac:dyDescent="0.2">
      <c r="A674" t="s">
        <v>341</v>
      </c>
      <c r="B674" t="s">
        <v>347</v>
      </c>
      <c r="C674" t="s">
        <v>684</v>
      </c>
      <c r="D674" t="s">
        <v>390</v>
      </c>
      <c r="E674">
        <v>623</v>
      </c>
      <c r="F674">
        <v>126</v>
      </c>
      <c r="G674">
        <v>89.94</v>
      </c>
      <c r="L674">
        <v>205</v>
      </c>
      <c r="M674">
        <v>283</v>
      </c>
      <c r="N674">
        <v>2</v>
      </c>
      <c r="O674">
        <v>124</v>
      </c>
      <c r="P674">
        <v>9</v>
      </c>
    </row>
    <row r="675" spans="1:16" x14ac:dyDescent="0.2">
      <c r="A675" t="s">
        <v>341</v>
      </c>
      <c r="B675" t="s">
        <v>348</v>
      </c>
      <c r="C675" t="s">
        <v>684</v>
      </c>
      <c r="D675" t="s">
        <v>390</v>
      </c>
      <c r="E675">
        <v>11</v>
      </c>
      <c r="F675">
        <v>5</v>
      </c>
      <c r="G675">
        <v>114.91</v>
      </c>
      <c r="L675">
        <v>1</v>
      </c>
      <c r="M675">
        <v>10</v>
      </c>
    </row>
    <row r="676" spans="1:16" x14ac:dyDescent="0.2">
      <c r="A676" t="s">
        <v>341</v>
      </c>
      <c r="B676" t="s">
        <v>417</v>
      </c>
      <c r="C676" t="s">
        <v>684</v>
      </c>
      <c r="D676" t="s">
        <v>390</v>
      </c>
      <c r="E676">
        <v>6417</v>
      </c>
      <c r="F676">
        <v>1448</v>
      </c>
      <c r="G676">
        <v>96.31</v>
      </c>
      <c r="L676">
        <v>498</v>
      </c>
      <c r="M676">
        <v>4228</v>
      </c>
      <c r="N676">
        <v>1271</v>
      </c>
      <c r="O676">
        <v>360</v>
      </c>
      <c r="P676">
        <v>60</v>
      </c>
    </row>
    <row r="677" spans="1:16" x14ac:dyDescent="0.2">
      <c r="A677" t="s">
        <v>341</v>
      </c>
      <c r="B677" t="s">
        <v>346</v>
      </c>
      <c r="C677" t="s">
        <v>685</v>
      </c>
      <c r="D677" t="s">
        <v>390</v>
      </c>
      <c r="E677">
        <v>4590</v>
      </c>
      <c r="F677">
        <v>1331</v>
      </c>
      <c r="G677">
        <v>108.35</v>
      </c>
      <c r="L677">
        <v>214</v>
      </c>
      <c r="M677">
        <v>3174</v>
      </c>
      <c r="N677">
        <v>1012</v>
      </c>
      <c r="O677">
        <v>165</v>
      </c>
      <c r="P677">
        <v>25</v>
      </c>
    </row>
    <row r="678" spans="1:16" x14ac:dyDescent="0.2">
      <c r="A678" t="s">
        <v>341</v>
      </c>
      <c r="B678" t="s">
        <v>347</v>
      </c>
      <c r="C678" t="s">
        <v>685</v>
      </c>
      <c r="D678" t="s">
        <v>390</v>
      </c>
      <c r="E678">
        <v>315</v>
      </c>
      <c r="F678">
        <v>46</v>
      </c>
      <c r="G678">
        <v>79.23</v>
      </c>
      <c r="L678">
        <v>111</v>
      </c>
      <c r="M678">
        <v>143</v>
      </c>
      <c r="N678">
        <v>1</v>
      </c>
      <c r="O678">
        <v>58</v>
      </c>
      <c r="P678">
        <v>2</v>
      </c>
    </row>
    <row r="679" spans="1:16" x14ac:dyDescent="0.2">
      <c r="A679" t="s">
        <v>341</v>
      </c>
      <c r="B679" t="s">
        <v>348</v>
      </c>
      <c r="C679" t="s">
        <v>685</v>
      </c>
      <c r="D679" t="s">
        <v>390</v>
      </c>
      <c r="E679">
        <v>14</v>
      </c>
      <c r="F679">
        <v>3</v>
      </c>
      <c r="G679">
        <v>118.21</v>
      </c>
      <c r="M679">
        <v>13</v>
      </c>
      <c r="N679">
        <v>1</v>
      </c>
    </row>
    <row r="680" spans="1:16" x14ac:dyDescent="0.2">
      <c r="A680" t="s">
        <v>341</v>
      </c>
      <c r="B680" t="s">
        <v>417</v>
      </c>
      <c r="C680" t="s">
        <v>685</v>
      </c>
      <c r="D680" t="s">
        <v>390</v>
      </c>
      <c r="E680">
        <v>4919</v>
      </c>
      <c r="F680">
        <v>1380</v>
      </c>
      <c r="G680">
        <v>106.51</v>
      </c>
      <c r="L680">
        <v>325</v>
      </c>
      <c r="M680">
        <v>3330</v>
      </c>
      <c r="N680">
        <v>1014</v>
      </c>
      <c r="O680">
        <v>223</v>
      </c>
      <c r="P680">
        <v>27</v>
      </c>
    </row>
    <row r="681" spans="1:16" x14ac:dyDescent="0.2">
      <c r="A681" t="s">
        <v>341</v>
      </c>
      <c r="B681" t="s">
        <v>346</v>
      </c>
      <c r="C681" t="s">
        <v>688</v>
      </c>
      <c r="D681" t="s">
        <v>390</v>
      </c>
      <c r="E681">
        <v>741</v>
      </c>
      <c r="F681">
        <v>151</v>
      </c>
      <c r="G681">
        <v>91.18</v>
      </c>
      <c r="L681">
        <v>22</v>
      </c>
      <c r="M681">
        <v>523</v>
      </c>
      <c r="N681">
        <v>157</v>
      </c>
      <c r="O681">
        <v>33</v>
      </c>
      <c r="P681">
        <v>6</v>
      </c>
    </row>
    <row r="682" spans="1:16" x14ac:dyDescent="0.2">
      <c r="A682" t="s">
        <v>341</v>
      </c>
      <c r="B682" t="s">
        <v>347</v>
      </c>
      <c r="C682" t="s">
        <v>688</v>
      </c>
      <c r="D682" t="s">
        <v>390</v>
      </c>
      <c r="E682">
        <v>41</v>
      </c>
      <c r="F682">
        <v>13</v>
      </c>
      <c r="G682">
        <v>101.76</v>
      </c>
      <c r="L682">
        <v>8</v>
      </c>
      <c r="M682">
        <v>21</v>
      </c>
      <c r="O682">
        <v>11</v>
      </c>
      <c r="P682">
        <v>1</v>
      </c>
    </row>
    <row r="683" spans="1:16" x14ac:dyDescent="0.2">
      <c r="A683" t="s">
        <v>341</v>
      </c>
      <c r="B683" t="s">
        <v>417</v>
      </c>
      <c r="C683" t="s">
        <v>688</v>
      </c>
      <c r="D683" t="s">
        <v>390</v>
      </c>
      <c r="E683">
        <v>782</v>
      </c>
      <c r="F683">
        <v>164</v>
      </c>
      <c r="G683">
        <v>91.73</v>
      </c>
      <c r="L683">
        <v>30</v>
      </c>
      <c r="M683">
        <v>544</v>
      </c>
      <c r="N683">
        <v>157</v>
      </c>
      <c r="O683">
        <v>44</v>
      </c>
      <c r="P683">
        <v>7</v>
      </c>
    </row>
    <row r="684" spans="1:16" x14ac:dyDescent="0.2">
      <c r="A684" t="s">
        <v>341</v>
      </c>
      <c r="B684" t="s">
        <v>346</v>
      </c>
      <c r="C684" t="s">
        <v>694</v>
      </c>
      <c r="D684" t="s">
        <v>390</v>
      </c>
      <c r="E684">
        <v>8339</v>
      </c>
      <c r="F684">
        <v>1920</v>
      </c>
      <c r="G684">
        <v>97.05</v>
      </c>
      <c r="L684">
        <v>362</v>
      </c>
      <c r="M684">
        <v>5769</v>
      </c>
      <c r="N684">
        <v>1840</v>
      </c>
      <c r="O684">
        <v>291</v>
      </c>
      <c r="P684">
        <v>77</v>
      </c>
    </row>
    <row r="685" spans="1:16" x14ac:dyDescent="0.2">
      <c r="A685" t="s">
        <v>341</v>
      </c>
      <c r="B685" t="s">
        <v>347</v>
      </c>
      <c r="C685" t="s">
        <v>694</v>
      </c>
      <c r="D685" t="s">
        <v>390</v>
      </c>
      <c r="E685">
        <v>968</v>
      </c>
      <c r="F685">
        <v>269</v>
      </c>
      <c r="G685">
        <v>100.27</v>
      </c>
      <c r="L685">
        <v>277</v>
      </c>
      <c r="M685">
        <v>485</v>
      </c>
      <c r="N685">
        <v>5</v>
      </c>
      <c r="O685">
        <v>180</v>
      </c>
      <c r="P685">
        <v>21</v>
      </c>
    </row>
    <row r="686" spans="1:16" x14ac:dyDescent="0.2">
      <c r="A686" t="s">
        <v>341</v>
      </c>
      <c r="B686" t="s">
        <v>348</v>
      </c>
      <c r="C686" t="s">
        <v>694</v>
      </c>
      <c r="D686" t="s">
        <v>390</v>
      </c>
      <c r="E686">
        <v>3</v>
      </c>
      <c r="G686">
        <v>25.67</v>
      </c>
      <c r="M686">
        <v>2</v>
      </c>
      <c r="O686">
        <v>1</v>
      </c>
    </row>
    <row r="687" spans="1:16" x14ac:dyDescent="0.2">
      <c r="A687" t="s">
        <v>341</v>
      </c>
      <c r="B687" t="s">
        <v>417</v>
      </c>
      <c r="C687" t="s">
        <v>694</v>
      </c>
      <c r="D687" t="s">
        <v>390</v>
      </c>
      <c r="E687">
        <v>9310</v>
      </c>
      <c r="F687">
        <v>2189</v>
      </c>
      <c r="G687">
        <v>97.36</v>
      </c>
      <c r="L687">
        <v>639</v>
      </c>
      <c r="M687">
        <v>6256</v>
      </c>
      <c r="N687">
        <v>1845</v>
      </c>
      <c r="O687">
        <v>472</v>
      </c>
      <c r="P687">
        <v>98</v>
      </c>
    </row>
    <row r="688" spans="1:16" x14ac:dyDescent="0.2">
      <c r="A688" t="s">
        <v>341</v>
      </c>
      <c r="B688" t="s">
        <v>346</v>
      </c>
      <c r="C688" t="s">
        <v>698</v>
      </c>
      <c r="D688" t="s">
        <v>390</v>
      </c>
      <c r="E688">
        <v>3357</v>
      </c>
      <c r="F688">
        <v>1063</v>
      </c>
      <c r="G688">
        <v>121.19</v>
      </c>
      <c r="L688">
        <v>136</v>
      </c>
      <c r="M688">
        <v>2323</v>
      </c>
      <c r="N688">
        <v>782</v>
      </c>
      <c r="O688">
        <v>100</v>
      </c>
      <c r="P688">
        <v>16</v>
      </c>
    </row>
    <row r="689" spans="1:16" x14ac:dyDescent="0.2">
      <c r="A689" t="s">
        <v>341</v>
      </c>
      <c r="B689" t="s">
        <v>347</v>
      </c>
      <c r="C689" t="s">
        <v>698</v>
      </c>
      <c r="D689" t="s">
        <v>390</v>
      </c>
      <c r="E689">
        <v>193</v>
      </c>
      <c r="F689">
        <v>61</v>
      </c>
      <c r="G689">
        <v>109.17</v>
      </c>
      <c r="L689">
        <v>46</v>
      </c>
      <c r="M689">
        <v>110</v>
      </c>
      <c r="N689">
        <v>2</v>
      </c>
      <c r="O689">
        <v>34</v>
      </c>
      <c r="P689">
        <v>1</v>
      </c>
    </row>
    <row r="690" spans="1:16" x14ac:dyDescent="0.2">
      <c r="A690" t="s">
        <v>341</v>
      </c>
      <c r="B690" t="s">
        <v>348</v>
      </c>
      <c r="C690" t="s">
        <v>698</v>
      </c>
      <c r="D690" t="s">
        <v>390</v>
      </c>
      <c r="E690">
        <v>1</v>
      </c>
      <c r="G690">
        <v>51</v>
      </c>
      <c r="M690">
        <v>1</v>
      </c>
    </row>
    <row r="691" spans="1:16" x14ac:dyDescent="0.2">
      <c r="A691" t="s">
        <v>341</v>
      </c>
      <c r="B691" t="s">
        <v>417</v>
      </c>
      <c r="C691" t="s">
        <v>698</v>
      </c>
      <c r="D691" t="s">
        <v>390</v>
      </c>
      <c r="E691">
        <v>3551</v>
      </c>
      <c r="F691">
        <v>1124</v>
      </c>
      <c r="G691">
        <v>120.52</v>
      </c>
      <c r="L691">
        <v>182</v>
      </c>
      <c r="M691">
        <v>2434</v>
      </c>
      <c r="N691">
        <v>784</v>
      </c>
      <c r="O691">
        <v>134</v>
      </c>
      <c r="P691">
        <v>17</v>
      </c>
    </row>
    <row r="692" spans="1:16" x14ac:dyDescent="0.2">
      <c r="A692" t="s">
        <v>341</v>
      </c>
      <c r="B692" t="s">
        <v>346</v>
      </c>
      <c r="C692" t="s">
        <v>704</v>
      </c>
      <c r="D692" t="s">
        <v>390</v>
      </c>
      <c r="E692">
        <v>1074</v>
      </c>
      <c r="F692">
        <v>196</v>
      </c>
      <c r="G692">
        <v>86.85</v>
      </c>
      <c r="L692">
        <v>53</v>
      </c>
      <c r="M692">
        <v>714</v>
      </c>
      <c r="N692">
        <v>261</v>
      </c>
      <c r="O692">
        <v>35</v>
      </c>
      <c r="P692">
        <v>11</v>
      </c>
    </row>
    <row r="693" spans="1:16" x14ac:dyDescent="0.2">
      <c r="A693" t="s">
        <v>341</v>
      </c>
      <c r="B693" t="s">
        <v>347</v>
      </c>
      <c r="C693" t="s">
        <v>704</v>
      </c>
      <c r="D693" t="s">
        <v>390</v>
      </c>
      <c r="E693">
        <v>63</v>
      </c>
      <c r="F693">
        <v>16</v>
      </c>
      <c r="G693">
        <v>101.25</v>
      </c>
      <c r="L693">
        <v>11</v>
      </c>
      <c r="M693">
        <v>34</v>
      </c>
      <c r="O693">
        <v>14</v>
      </c>
      <c r="P693">
        <v>4</v>
      </c>
    </row>
    <row r="694" spans="1:16" x14ac:dyDescent="0.2">
      <c r="A694" t="s">
        <v>341</v>
      </c>
      <c r="B694" t="s">
        <v>417</v>
      </c>
      <c r="C694" t="s">
        <v>704</v>
      </c>
      <c r="D694" t="s">
        <v>390</v>
      </c>
      <c r="E694">
        <v>1137</v>
      </c>
      <c r="F694">
        <v>212</v>
      </c>
      <c r="G694">
        <v>87.65</v>
      </c>
      <c r="L694">
        <v>64</v>
      </c>
      <c r="M694">
        <v>748</v>
      </c>
      <c r="N694">
        <v>261</v>
      </c>
      <c r="O694">
        <v>49</v>
      </c>
      <c r="P694">
        <v>15</v>
      </c>
    </row>
    <row r="695" spans="1:16" x14ac:dyDescent="0.2">
      <c r="A695" t="s">
        <v>341</v>
      </c>
      <c r="B695" t="s">
        <v>346</v>
      </c>
      <c r="C695" t="s">
        <v>707</v>
      </c>
      <c r="D695" t="s">
        <v>390</v>
      </c>
      <c r="E695">
        <v>2112</v>
      </c>
      <c r="F695">
        <v>388</v>
      </c>
      <c r="G695">
        <v>84.95</v>
      </c>
      <c r="L695">
        <v>115</v>
      </c>
      <c r="M695">
        <v>1353</v>
      </c>
      <c r="N695">
        <v>554</v>
      </c>
      <c r="O695">
        <v>78</v>
      </c>
      <c r="P695">
        <v>12</v>
      </c>
    </row>
    <row r="696" spans="1:16" x14ac:dyDescent="0.2">
      <c r="A696" t="s">
        <v>341</v>
      </c>
      <c r="B696" t="s">
        <v>347</v>
      </c>
      <c r="C696" t="s">
        <v>707</v>
      </c>
      <c r="D696" t="s">
        <v>390</v>
      </c>
      <c r="E696">
        <v>202</v>
      </c>
      <c r="F696">
        <v>58</v>
      </c>
      <c r="G696">
        <v>98.16</v>
      </c>
      <c r="L696">
        <v>51</v>
      </c>
      <c r="M696">
        <v>104</v>
      </c>
      <c r="N696">
        <v>1</v>
      </c>
      <c r="O696">
        <v>44</v>
      </c>
      <c r="P696">
        <v>2</v>
      </c>
    </row>
    <row r="697" spans="1:16" x14ac:dyDescent="0.2">
      <c r="A697" t="s">
        <v>341</v>
      </c>
      <c r="B697" t="s">
        <v>348</v>
      </c>
      <c r="C697" t="s">
        <v>707</v>
      </c>
      <c r="D697" t="s">
        <v>390</v>
      </c>
      <c r="E697">
        <v>1</v>
      </c>
      <c r="F697">
        <v>1</v>
      </c>
      <c r="G697">
        <v>185</v>
      </c>
      <c r="N697">
        <v>1</v>
      </c>
    </row>
    <row r="698" spans="1:16" x14ac:dyDescent="0.2">
      <c r="A698" t="s">
        <v>341</v>
      </c>
      <c r="B698" t="s">
        <v>417</v>
      </c>
      <c r="C698" t="s">
        <v>707</v>
      </c>
      <c r="D698" t="s">
        <v>390</v>
      </c>
      <c r="E698">
        <v>2315</v>
      </c>
      <c r="F698">
        <v>447</v>
      </c>
      <c r="G698">
        <v>86.15</v>
      </c>
      <c r="L698">
        <v>166</v>
      </c>
      <c r="M698">
        <v>1457</v>
      </c>
      <c r="N698">
        <v>556</v>
      </c>
      <c r="O698">
        <v>122</v>
      </c>
      <c r="P698">
        <v>14</v>
      </c>
    </row>
    <row r="699" spans="1:16" x14ac:dyDescent="0.2">
      <c r="A699" t="s">
        <v>341</v>
      </c>
      <c r="B699" t="s">
        <v>346</v>
      </c>
      <c r="C699" t="s">
        <v>708</v>
      </c>
      <c r="D699" t="s">
        <v>390</v>
      </c>
      <c r="E699">
        <v>13249</v>
      </c>
      <c r="F699">
        <v>3044</v>
      </c>
      <c r="G699">
        <v>97.15</v>
      </c>
      <c r="L699">
        <v>579</v>
      </c>
      <c r="M699">
        <v>8162</v>
      </c>
      <c r="N699">
        <v>3855</v>
      </c>
      <c r="O699">
        <v>534</v>
      </c>
      <c r="P699">
        <v>119</v>
      </c>
    </row>
    <row r="700" spans="1:16" x14ac:dyDescent="0.2">
      <c r="A700" t="s">
        <v>341</v>
      </c>
      <c r="B700" t="s">
        <v>347</v>
      </c>
      <c r="C700" t="s">
        <v>708</v>
      </c>
      <c r="D700" t="s">
        <v>390</v>
      </c>
      <c r="E700">
        <v>721</v>
      </c>
      <c r="F700">
        <v>199</v>
      </c>
      <c r="G700">
        <v>100.16</v>
      </c>
      <c r="L700">
        <v>187</v>
      </c>
      <c r="M700">
        <v>346</v>
      </c>
      <c r="N700">
        <v>4</v>
      </c>
      <c r="O700">
        <v>173</v>
      </c>
      <c r="P700">
        <v>11</v>
      </c>
    </row>
    <row r="701" spans="1:16" x14ac:dyDescent="0.2">
      <c r="A701" t="s">
        <v>341</v>
      </c>
      <c r="B701" t="s">
        <v>348</v>
      </c>
      <c r="C701" t="s">
        <v>708</v>
      </c>
      <c r="D701" t="s">
        <v>390</v>
      </c>
      <c r="E701">
        <v>18</v>
      </c>
      <c r="F701">
        <v>3</v>
      </c>
      <c r="G701">
        <v>80.89</v>
      </c>
      <c r="L701">
        <v>1</v>
      </c>
      <c r="M701">
        <v>10</v>
      </c>
      <c r="N701">
        <v>6</v>
      </c>
      <c r="O701">
        <v>1</v>
      </c>
    </row>
    <row r="702" spans="1:16" x14ac:dyDescent="0.2">
      <c r="A702" t="s">
        <v>341</v>
      </c>
      <c r="B702" t="s">
        <v>417</v>
      </c>
      <c r="C702" t="s">
        <v>708</v>
      </c>
      <c r="D702" t="s">
        <v>390</v>
      </c>
      <c r="E702">
        <v>13988</v>
      </c>
      <c r="F702">
        <v>3246</v>
      </c>
      <c r="G702">
        <v>97.28</v>
      </c>
      <c r="L702">
        <v>767</v>
      </c>
      <c r="M702">
        <v>8518</v>
      </c>
      <c r="N702">
        <v>3865</v>
      </c>
      <c r="O702">
        <v>708</v>
      </c>
      <c r="P702">
        <v>130</v>
      </c>
    </row>
    <row r="703" spans="1:16" x14ac:dyDescent="0.2">
      <c r="A703" t="s">
        <v>341</v>
      </c>
      <c r="B703" t="s">
        <v>346</v>
      </c>
      <c r="C703" t="s">
        <v>712</v>
      </c>
      <c r="D703" t="s">
        <v>390</v>
      </c>
      <c r="E703">
        <v>2290</v>
      </c>
      <c r="F703">
        <v>502</v>
      </c>
      <c r="G703">
        <v>93.33</v>
      </c>
      <c r="L703">
        <v>142</v>
      </c>
      <c r="M703">
        <v>1524</v>
      </c>
      <c r="N703">
        <v>508</v>
      </c>
      <c r="O703">
        <v>92</v>
      </c>
      <c r="P703">
        <v>24</v>
      </c>
    </row>
    <row r="704" spans="1:16" x14ac:dyDescent="0.2">
      <c r="A704" t="s">
        <v>341</v>
      </c>
      <c r="B704" t="s">
        <v>347</v>
      </c>
      <c r="C704" t="s">
        <v>712</v>
      </c>
      <c r="D704" t="s">
        <v>390</v>
      </c>
      <c r="E704">
        <v>196</v>
      </c>
      <c r="F704">
        <v>52</v>
      </c>
      <c r="G704">
        <v>105.39</v>
      </c>
      <c r="L704">
        <v>52</v>
      </c>
      <c r="M704">
        <v>85</v>
      </c>
      <c r="O704">
        <v>54</v>
      </c>
      <c r="P704">
        <v>5</v>
      </c>
    </row>
    <row r="705" spans="1:16" x14ac:dyDescent="0.2">
      <c r="A705" t="s">
        <v>341</v>
      </c>
      <c r="B705" t="s">
        <v>348</v>
      </c>
      <c r="C705" t="s">
        <v>712</v>
      </c>
      <c r="D705" t="s">
        <v>390</v>
      </c>
      <c r="E705">
        <v>1</v>
      </c>
      <c r="G705">
        <v>3</v>
      </c>
      <c r="L705">
        <v>1</v>
      </c>
    </row>
    <row r="706" spans="1:16" x14ac:dyDescent="0.2">
      <c r="A706" t="s">
        <v>341</v>
      </c>
      <c r="B706" t="s">
        <v>417</v>
      </c>
      <c r="C706" t="s">
        <v>712</v>
      </c>
      <c r="D706" t="s">
        <v>390</v>
      </c>
      <c r="E706">
        <v>2487</v>
      </c>
      <c r="F706">
        <v>554</v>
      </c>
      <c r="G706">
        <v>94.24</v>
      </c>
      <c r="L706">
        <v>195</v>
      </c>
      <c r="M706">
        <v>1609</v>
      </c>
      <c r="N706">
        <v>508</v>
      </c>
      <c r="O706">
        <v>146</v>
      </c>
      <c r="P706">
        <v>29</v>
      </c>
    </row>
    <row r="707" spans="1:16" x14ac:dyDescent="0.2">
      <c r="A707" t="s">
        <v>341</v>
      </c>
      <c r="B707" t="s">
        <v>346</v>
      </c>
      <c r="C707" t="s">
        <v>713</v>
      </c>
      <c r="D707" t="s">
        <v>390</v>
      </c>
      <c r="E707">
        <v>775</v>
      </c>
      <c r="F707">
        <v>182</v>
      </c>
      <c r="G707">
        <v>95.34</v>
      </c>
      <c r="L707">
        <v>30</v>
      </c>
      <c r="M707">
        <v>516</v>
      </c>
      <c r="N707">
        <v>198</v>
      </c>
      <c r="O707">
        <v>26</v>
      </c>
      <c r="P707">
        <v>5</v>
      </c>
    </row>
    <row r="708" spans="1:16" x14ac:dyDescent="0.2">
      <c r="A708" t="s">
        <v>341</v>
      </c>
      <c r="B708" t="s">
        <v>347</v>
      </c>
      <c r="C708" t="s">
        <v>713</v>
      </c>
      <c r="D708" t="s">
        <v>390</v>
      </c>
      <c r="E708">
        <v>36</v>
      </c>
      <c r="F708">
        <v>9</v>
      </c>
      <c r="G708">
        <v>94.39</v>
      </c>
      <c r="L708">
        <v>10</v>
      </c>
      <c r="M708">
        <v>18</v>
      </c>
      <c r="O708">
        <v>8</v>
      </c>
    </row>
    <row r="709" spans="1:16" x14ac:dyDescent="0.2">
      <c r="A709" t="s">
        <v>341</v>
      </c>
      <c r="B709" t="s">
        <v>348</v>
      </c>
      <c r="C709" t="s">
        <v>713</v>
      </c>
      <c r="D709" t="s">
        <v>390</v>
      </c>
      <c r="E709">
        <v>1</v>
      </c>
      <c r="G709">
        <v>90</v>
      </c>
      <c r="N709">
        <v>1</v>
      </c>
    </row>
    <row r="710" spans="1:16" x14ac:dyDescent="0.2">
      <c r="A710" t="s">
        <v>341</v>
      </c>
      <c r="B710" t="s">
        <v>417</v>
      </c>
      <c r="C710" t="s">
        <v>713</v>
      </c>
      <c r="D710" t="s">
        <v>390</v>
      </c>
      <c r="E710">
        <v>812</v>
      </c>
      <c r="F710">
        <v>191</v>
      </c>
      <c r="G710">
        <v>95.29</v>
      </c>
      <c r="L710">
        <v>40</v>
      </c>
      <c r="M710">
        <v>534</v>
      </c>
      <c r="N710">
        <v>199</v>
      </c>
      <c r="O710">
        <v>34</v>
      </c>
      <c r="P710">
        <v>5</v>
      </c>
    </row>
    <row r="711" spans="1:16" x14ac:dyDescent="0.2">
      <c r="A711" t="s">
        <v>341</v>
      </c>
      <c r="B711" t="s">
        <v>346</v>
      </c>
      <c r="C711" t="s">
        <v>663</v>
      </c>
      <c r="D711" t="s">
        <v>390</v>
      </c>
      <c r="E711">
        <v>1093</v>
      </c>
      <c r="F711">
        <v>300</v>
      </c>
      <c r="G711">
        <v>108.24</v>
      </c>
      <c r="L711">
        <v>42</v>
      </c>
      <c r="M711">
        <v>747</v>
      </c>
      <c r="N711">
        <v>248</v>
      </c>
      <c r="O711">
        <v>47</v>
      </c>
      <c r="P711">
        <v>9</v>
      </c>
    </row>
    <row r="712" spans="1:16" x14ac:dyDescent="0.2">
      <c r="A712" t="s">
        <v>341</v>
      </c>
      <c r="B712" t="s">
        <v>347</v>
      </c>
      <c r="C712" t="s">
        <v>663</v>
      </c>
      <c r="D712" t="s">
        <v>390</v>
      </c>
      <c r="E712">
        <v>32</v>
      </c>
      <c r="F712">
        <v>6</v>
      </c>
      <c r="G712">
        <v>95.75</v>
      </c>
      <c r="L712">
        <v>8</v>
      </c>
      <c r="M712">
        <v>16</v>
      </c>
      <c r="O712">
        <v>6</v>
      </c>
      <c r="P712">
        <v>2</v>
      </c>
    </row>
    <row r="713" spans="1:16" x14ac:dyDescent="0.2">
      <c r="A713" t="s">
        <v>341</v>
      </c>
      <c r="B713" t="s">
        <v>417</v>
      </c>
      <c r="C713" t="s">
        <v>663</v>
      </c>
      <c r="D713" t="s">
        <v>390</v>
      </c>
      <c r="E713">
        <v>1125</v>
      </c>
      <c r="F713">
        <v>306</v>
      </c>
      <c r="G713">
        <v>107.89</v>
      </c>
      <c r="L713">
        <v>50</v>
      </c>
      <c r="M713">
        <v>763</v>
      </c>
      <c r="N713">
        <v>248</v>
      </c>
      <c r="O713">
        <v>53</v>
      </c>
      <c r="P713">
        <v>11</v>
      </c>
    </row>
    <row r="714" spans="1:16" x14ac:dyDescent="0.2">
      <c r="A714" t="s">
        <v>341</v>
      </c>
      <c r="B714" t="s">
        <v>346</v>
      </c>
      <c r="C714" t="s">
        <v>665</v>
      </c>
      <c r="D714" t="s">
        <v>390</v>
      </c>
      <c r="E714">
        <v>3731</v>
      </c>
      <c r="F714">
        <v>753</v>
      </c>
      <c r="G714">
        <v>92.52</v>
      </c>
      <c r="L714">
        <v>195</v>
      </c>
      <c r="M714">
        <v>2351</v>
      </c>
      <c r="N714">
        <v>1021</v>
      </c>
      <c r="O714">
        <v>132</v>
      </c>
      <c r="P714">
        <v>32</v>
      </c>
    </row>
    <row r="715" spans="1:16" x14ac:dyDescent="0.2">
      <c r="A715" t="s">
        <v>341</v>
      </c>
      <c r="B715" t="s">
        <v>347</v>
      </c>
      <c r="C715" t="s">
        <v>665</v>
      </c>
      <c r="D715" t="s">
        <v>390</v>
      </c>
      <c r="E715">
        <v>361</v>
      </c>
      <c r="F715">
        <v>69</v>
      </c>
      <c r="G715">
        <v>85.48</v>
      </c>
      <c r="L715">
        <v>119</v>
      </c>
      <c r="M715">
        <v>163</v>
      </c>
      <c r="N715">
        <v>6</v>
      </c>
      <c r="O715">
        <v>70</v>
      </c>
      <c r="P715">
        <v>3</v>
      </c>
    </row>
    <row r="716" spans="1:16" x14ac:dyDescent="0.2">
      <c r="A716" t="s">
        <v>341</v>
      </c>
      <c r="B716" t="s">
        <v>348</v>
      </c>
      <c r="C716" t="s">
        <v>665</v>
      </c>
      <c r="D716" t="s">
        <v>390</v>
      </c>
      <c r="E716">
        <v>5</v>
      </c>
      <c r="F716">
        <v>2</v>
      </c>
      <c r="G716">
        <v>118.2</v>
      </c>
      <c r="M716">
        <v>4</v>
      </c>
      <c r="N716">
        <v>1</v>
      </c>
    </row>
    <row r="717" spans="1:16" x14ac:dyDescent="0.2">
      <c r="A717" t="s">
        <v>341</v>
      </c>
      <c r="B717" t="s">
        <v>417</v>
      </c>
      <c r="C717" t="s">
        <v>665</v>
      </c>
      <c r="D717" t="s">
        <v>390</v>
      </c>
      <c r="E717">
        <v>4097</v>
      </c>
      <c r="F717">
        <v>824</v>
      </c>
      <c r="G717">
        <v>91.93</v>
      </c>
      <c r="L717">
        <v>314</v>
      </c>
      <c r="M717">
        <v>2518</v>
      </c>
      <c r="N717">
        <v>1028</v>
      </c>
      <c r="O717">
        <v>202</v>
      </c>
      <c r="P717">
        <v>35</v>
      </c>
    </row>
    <row r="718" spans="1:16" x14ac:dyDescent="0.2">
      <c r="A718" t="s">
        <v>341</v>
      </c>
      <c r="B718" t="s">
        <v>346</v>
      </c>
      <c r="C718" t="s">
        <v>645</v>
      </c>
      <c r="D718" t="s">
        <v>390</v>
      </c>
      <c r="E718">
        <v>1900</v>
      </c>
      <c r="F718">
        <v>332</v>
      </c>
      <c r="G718">
        <v>80.97</v>
      </c>
      <c r="L718">
        <v>91</v>
      </c>
      <c r="M718">
        <v>1304</v>
      </c>
      <c r="N718">
        <v>401</v>
      </c>
      <c r="O718">
        <v>88</v>
      </c>
      <c r="P718">
        <v>16</v>
      </c>
    </row>
    <row r="719" spans="1:16" x14ac:dyDescent="0.2">
      <c r="A719" t="s">
        <v>341</v>
      </c>
      <c r="B719" t="s">
        <v>347</v>
      </c>
      <c r="C719" t="s">
        <v>645</v>
      </c>
      <c r="D719" t="s">
        <v>390</v>
      </c>
      <c r="E719">
        <v>197</v>
      </c>
      <c r="F719">
        <v>54</v>
      </c>
      <c r="G719">
        <v>98.04</v>
      </c>
      <c r="L719">
        <v>56</v>
      </c>
      <c r="M719">
        <v>99</v>
      </c>
      <c r="N719">
        <v>5</v>
      </c>
      <c r="O719">
        <v>31</v>
      </c>
      <c r="P719">
        <v>6</v>
      </c>
    </row>
    <row r="720" spans="1:16" x14ac:dyDescent="0.2">
      <c r="A720" t="s">
        <v>341</v>
      </c>
      <c r="B720" t="s">
        <v>348</v>
      </c>
      <c r="C720" t="s">
        <v>645</v>
      </c>
      <c r="D720" t="s">
        <v>390</v>
      </c>
      <c r="E720">
        <v>3</v>
      </c>
      <c r="G720">
        <v>31</v>
      </c>
      <c r="M720">
        <v>2</v>
      </c>
      <c r="N720">
        <v>1</v>
      </c>
    </row>
    <row r="721" spans="1:16" x14ac:dyDescent="0.2">
      <c r="A721" t="s">
        <v>341</v>
      </c>
      <c r="B721" t="s">
        <v>417</v>
      </c>
      <c r="C721" t="s">
        <v>645</v>
      </c>
      <c r="D721" t="s">
        <v>390</v>
      </c>
      <c r="E721">
        <v>2100</v>
      </c>
      <c r="F721">
        <v>386</v>
      </c>
      <c r="G721">
        <v>82.5</v>
      </c>
      <c r="L721">
        <v>147</v>
      </c>
      <c r="M721">
        <v>1405</v>
      </c>
      <c r="N721">
        <v>407</v>
      </c>
      <c r="O721">
        <v>119</v>
      </c>
      <c r="P721">
        <v>22</v>
      </c>
    </row>
    <row r="722" spans="1:16" x14ac:dyDescent="0.2">
      <c r="A722" t="s">
        <v>341</v>
      </c>
      <c r="B722" t="s">
        <v>346</v>
      </c>
      <c r="C722" t="s">
        <v>673</v>
      </c>
      <c r="D722" t="s">
        <v>390</v>
      </c>
      <c r="E722">
        <v>2195</v>
      </c>
      <c r="F722">
        <v>512</v>
      </c>
      <c r="G722">
        <v>93.17</v>
      </c>
      <c r="L722">
        <v>107</v>
      </c>
      <c r="M722">
        <v>1491</v>
      </c>
      <c r="N722">
        <v>500</v>
      </c>
      <c r="O722">
        <v>76</v>
      </c>
      <c r="P722">
        <v>20</v>
      </c>
    </row>
    <row r="723" spans="1:16" x14ac:dyDescent="0.2">
      <c r="A723" t="s">
        <v>341</v>
      </c>
      <c r="B723" t="s">
        <v>347</v>
      </c>
      <c r="C723" t="s">
        <v>673</v>
      </c>
      <c r="D723" t="s">
        <v>390</v>
      </c>
      <c r="E723">
        <v>169</v>
      </c>
      <c r="F723">
        <v>31</v>
      </c>
      <c r="G723">
        <v>87.59</v>
      </c>
      <c r="L723">
        <v>43</v>
      </c>
      <c r="M723">
        <v>80</v>
      </c>
      <c r="O723">
        <v>43</v>
      </c>
      <c r="P723">
        <v>3</v>
      </c>
    </row>
    <row r="724" spans="1:16" x14ac:dyDescent="0.2">
      <c r="A724" t="s">
        <v>341</v>
      </c>
      <c r="B724" t="s">
        <v>348</v>
      </c>
      <c r="C724" t="s">
        <v>673</v>
      </c>
      <c r="D724" t="s">
        <v>390</v>
      </c>
      <c r="E724">
        <v>1</v>
      </c>
      <c r="G724">
        <v>18</v>
      </c>
      <c r="M724">
        <v>1</v>
      </c>
    </row>
    <row r="725" spans="1:16" x14ac:dyDescent="0.2">
      <c r="A725" t="s">
        <v>341</v>
      </c>
      <c r="B725" t="s">
        <v>417</v>
      </c>
      <c r="C725" t="s">
        <v>673</v>
      </c>
      <c r="D725" t="s">
        <v>390</v>
      </c>
      <c r="E725">
        <v>2365</v>
      </c>
      <c r="F725">
        <v>543</v>
      </c>
      <c r="G725">
        <v>92.74</v>
      </c>
      <c r="L725">
        <v>150</v>
      </c>
      <c r="M725">
        <v>1572</v>
      </c>
      <c r="N725">
        <v>500</v>
      </c>
      <c r="O725">
        <v>119</v>
      </c>
      <c r="P725">
        <v>23</v>
      </c>
    </row>
    <row r="726" spans="1:16" x14ac:dyDescent="0.2">
      <c r="A726" t="s">
        <v>341</v>
      </c>
      <c r="B726" t="s">
        <v>346</v>
      </c>
      <c r="C726" t="s">
        <v>674</v>
      </c>
      <c r="D726" t="s">
        <v>390</v>
      </c>
      <c r="E726">
        <v>7399</v>
      </c>
      <c r="F726">
        <v>1861</v>
      </c>
      <c r="G726">
        <v>103.82</v>
      </c>
      <c r="L726">
        <v>371</v>
      </c>
      <c r="M726">
        <v>4801</v>
      </c>
      <c r="N726">
        <v>1779</v>
      </c>
      <c r="O726">
        <v>364</v>
      </c>
      <c r="P726">
        <v>84</v>
      </c>
    </row>
    <row r="727" spans="1:16" x14ac:dyDescent="0.2">
      <c r="A727" t="s">
        <v>341</v>
      </c>
      <c r="B727" t="s">
        <v>347</v>
      </c>
      <c r="C727" t="s">
        <v>674</v>
      </c>
      <c r="D727" t="s">
        <v>390</v>
      </c>
      <c r="E727">
        <v>714</v>
      </c>
      <c r="F727">
        <v>129</v>
      </c>
      <c r="G727">
        <v>80.95</v>
      </c>
      <c r="L727">
        <v>265</v>
      </c>
      <c r="M727">
        <v>301</v>
      </c>
      <c r="N727">
        <v>3</v>
      </c>
      <c r="O727">
        <v>136</v>
      </c>
      <c r="P727">
        <v>9</v>
      </c>
    </row>
    <row r="728" spans="1:16" x14ac:dyDescent="0.2">
      <c r="A728" t="s">
        <v>341</v>
      </c>
      <c r="B728" t="s">
        <v>348</v>
      </c>
      <c r="C728" t="s">
        <v>674</v>
      </c>
      <c r="D728" t="s">
        <v>390</v>
      </c>
      <c r="E728">
        <v>9</v>
      </c>
      <c r="F728">
        <v>1</v>
      </c>
      <c r="G728">
        <v>61.22</v>
      </c>
      <c r="L728">
        <v>2</v>
      </c>
      <c r="M728">
        <v>1</v>
      </c>
      <c r="N728">
        <v>5</v>
      </c>
      <c r="O728">
        <v>1</v>
      </c>
    </row>
    <row r="729" spans="1:16" x14ac:dyDescent="0.2">
      <c r="A729" t="s">
        <v>341</v>
      </c>
      <c r="B729" t="s">
        <v>417</v>
      </c>
      <c r="C729" t="s">
        <v>674</v>
      </c>
      <c r="D729" t="s">
        <v>390</v>
      </c>
      <c r="E729">
        <v>8122</v>
      </c>
      <c r="F729">
        <v>1991</v>
      </c>
      <c r="G729">
        <v>101.76</v>
      </c>
      <c r="L729">
        <v>638</v>
      </c>
      <c r="M729">
        <v>5103</v>
      </c>
      <c r="N729">
        <v>1787</v>
      </c>
      <c r="O729">
        <v>501</v>
      </c>
      <c r="P729">
        <v>93</v>
      </c>
    </row>
    <row r="730" spans="1:16" x14ac:dyDescent="0.2">
      <c r="A730" t="s">
        <v>341</v>
      </c>
      <c r="B730" t="s">
        <v>346</v>
      </c>
      <c r="C730" t="s">
        <v>682</v>
      </c>
      <c r="D730" t="s">
        <v>390</v>
      </c>
      <c r="E730">
        <v>6495</v>
      </c>
      <c r="F730">
        <v>1453</v>
      </c>
      <c r="G730">
        <v>98.93</v>
      </c>
      <c r="L730">
        <v>345</v>
      </c>
      <c r="M730">
        <v>4299</v>
      </c>
      <c r="N730">
        <v>1525</v>
      </c>
      <c r="O730">
        <v>266</v>
      </c>
      <c r="P730">
        <v>60</v>
      </c>
    </row>
    <row r="731" spans="1:16" x14ac:dyDescent="0.2">
      <c r="A731" t="s">
        <v>341</v>
      </c>
      <c r="B731" t="s">
        <v>347</v>
      </c>
      <c r="C731" t="s">
        <v>682</v>
      </c>
      <c r="D731" t="s">
        <v>390</v>
      </c>
      <c r="E731">
        <v>738</v>
      </c>
      <c r="F731">
        <v>119</v>
      </c>
      <c r="G731">
        <v>81.92</v>
      </c>
      <c r="L731">
        <v>272</v>
      </c>
      <c r="M731">
        <v>291</v>
      </c>
      <c r="N731">
        <v>2</v>
      </c>
      <c r="O731">
        <v>159</v>
      </c>
      <c r="P731">
        <v>14</v>
      </c>
    </row>
    <row r="732" spans="1:16" x14ac:dyDescent="0.2">
      <c r="A732" t="s">
        <v>341</v>
      </c>
      <c r="B732" t="s">
        <v>348</v>
      </c>
      <c r="C732" t="s">
        <v>682</v>
      </c>
      <c r="D732" t="s">
        <v>390</v>
      </c>
      <c r="E732">
        <v>8</v>
      </c>
      <c r="F732">
        <v>2</v>
      </c>
      <c r="G732">
        <v>75.38</v>
      </c>
      <c r="M732">
        <v>6</v>
      </c>
      <c r="N732">
        <v>1</v>
      </c>
      <c r="O732">
        <v>1</v>
      </c>
    </row>
    <row r="733" spans="1:16" x14ac:dyDescent="0.2">
      <c r="A733" t="s">
        <v>341</v>
      </c>
      <c r="B733" t="s">
        <v>417</v>
      </c>
      <c r="C733" t="s">
        <v>682</v>
      </c>
      <c r="D733" t="s">
        <v>390</v>
      </c>
      <c r="E733">
        <v>7241</v>
      </c>
      <c r="F733">
        <v>1574</v>
      </c>
      <c r="G733">
        <v>97.17</v>
      </c>
      <c r="L733">
        <v>617</v>
      </c>
      <c r="M733">
        <v>4596</v>
      </c>
      <c r="N733">
        <v>1528</v>
      </c>
      <c r="O733">
        <v>426</v>
      </c>
      <c r="P733">
        <v>74</v>
      </c>
    </row>
    <row r="734" spans="1:16" x14ac:dyDescent="0.2">
      <c r="A734" t="s">
        <v>341</v>
      </c>
      <c r="B734" t="s">
        <v>346</v>
      </c>
      <c r="C734" t="s">
        <v>683</v>
      </c>
      <c r="D734" t="s">
        <v>390</v>
      </c>
      <c r="E734">
        <v>4170</v>
      </c>
      <c r="F734">
        <v>931</v>
      </c>
      <c r="G734">
        <v>97.81</v>
      </c>
      <c r="L734">
        <v>187</v>
      </c>
      <c r="M734">
        <v>2896</v>
      </c>
      <c r="N734">
        <v>855</v>
      </c>
      <c r="O734">
        <v>195</v>
      </c>
      <c r="P734">
        <v>37</v>
      </c>
    </row>
    <row r="735" spans="1:16" x14ac:dyDescent="0.2">
      <c r="A735" t="s">
        <v>341</v>
      </c>
      <c r="B735" t="s">
        <v>347</v>
      </c>
      <c r="C735" t="s">
        <v>683</v>
      </c>
      <c r="D735" t="s">
        <v>390</v>
      </c>
      <c r="E735">
        <v>307</v>
      </c>
      <c r="F735">
        <v>89</v>
      </c>
      <c r="G735">
        <v>100.93</v>
      </c>
      <c r="L735">
        <v>72</v>
      </c>
      <c r="M735">
        <v>160</v>
      </c>
      <c r="N735">
        <v>2</v>
      </c>
      <c r="O735">
        <v>67</v>
      </c>
      <c r="P735">
        <v>6</v>
      </c>
    </row>
    <row r="736" spans="1:16" x14ac:dyDescent="0.2">
      <c r="A736" t="s">
        <v>341</v>
      </c>
      <c r="B736" t="s">
        <v>348</v>
      </c>
      <c r="C736" t="s">
        <v>683</v>
      </c>
      <c r="D736" t="s">
        <v>390</v>
      </c>
      <c r="E736">
        <v>5</v>
      </c>
      <c r="F736">
        <v>2</v>
      </c>
      <c r="G736">
        <v>131.4</v>
      </c>
      <c r="M736">
        <v>4</v>
      </c>
      <c r="O736">
        <v>1</v>
      </c>
    </row>
    <row r="737" spans="1:16" x14ac:dyDescent="0.2">
      <c r="A737" t="s">
        <v>341</v>
      </c>
      <c r="B737" t="s">
        <v>417</v>
      </c>
      <c r="C737" t="s">
        <v>683</v>
      </c>
      <c r="D737" t="s">
        <v>390</v>
      </c>
      <c r="E737">
        <v>4482</v>
      </c>
      <c r="F737">
        <v>1022</v>
      </c>
      <c r="G737">
        <v>98.06</v>
      </c>
      <c r="L737">
        <v>259</v>
      </c>
      <c r="M737">
        <v>3060</v>
      </c>
      <c r="N737">
        <v>857</v>
      </c>
      <c r="O737">
        <v>263</v>
      </c>
      <c r="P737">
        <v>43</v>
      </c>
    </row>
    <row r="738" spans="1:16" x14ac:dyDescent="0.2">
      <c r="A738" t="s">
        <v>341</v>
      </c>
      <c r="B738" t="s">
        <v>346</v>
      </c>
      <c r="C738" t="s">
        <v>686</v>
      </c>
      <c r="D738" t="s">
        <v>390</v>
      </c>
      <c r="E738">
        <v>1164</v>
      </c>
      <c r="F738">
        <v>171</v>
      </c>
      <c r="G738">
        <v>79.77</v>
      </c>
      <c r="L738">
        <v>57</v>
      </c>
      <c r="M738">
        <v>676</v>
      </c>
      <c r="N738">
        <v>381</v>
      </c>
      <c r="O738">
        <v>45</v>
      </c>
      <c r="P738">
        <v>5</v>
      </c>
    </row>
    <row r="739" spans="1:16" x14ac:dyDescent="0.2">
      <c r="A739" t="s">
        <v>341</v>
      </c>
      <c r="B739" t="s">
        <v>347</v>
      </c>
      <c r="C739" t="s">
        <v>686</v>
      </c>
      <c r="D739" t="s">
        <v>390</v>
      </c>
      <c r="E739">
        <v>122</v>
      </c>
      <c r="F739">
        <v>29</v>
      </c>
      <c r="G739">
        <v>99.57</v>
      </c>
      <c r="L739">
        <v>34</v>
      </c>
      <c r="M739">
        <v>56</v>
      </c>
      <c r="N739">
        <v>1</v>
      </c>
      <c r="O739">
        <v>28</v>
      </c>
      <c r="P739">
        <v>3</v>
      </c>
    </row>
    <row r="740" spans="1:16" x14ac:dyDescent="0.2">
      <c r="A740" t="s">
        <v>341</v>
      </c>
      <c r="B740" t="s">
        <v>348</v>
      </c>
      <c r="C740" t="s">
        <v>686</v>
      </c>
      <c r="D740" t="s">
        <v>390</v>
      </c>
      <c r="E740">
        <v>3</v>
      </c>
      <c r="F740">
        <v>1</v>
      </c>
      <c r="G740">
        <v>140</v>
      </c>
      <c r="M740">
        <v>1</v>
      </c>
      <c r="N740">
        <v>1</v>
      </c>
      <c r="P740">
        <v>1</v>
      </c>
    </row>
    <row r="741" spans="1:16" x14ac:dyDescent="0.2">
      <c r="A741" t="s">
        <v>341</v>
      </c>
      <c r="B741" t="s">
        <v>417</v>
      </c>
      <c r="C741" t="s">
        <v>686</v>
      </c>
      <c r="D741" t="s">
        <v>390</v>
      </c>
      <c r="E741">
        <v>1289</v>
      </c>
      <c r="F741">
        <v>201</v>
      </c>
      <c r="G741">
        <v>81.790000000000006</v>
      </c>
      <c r="L741">
        <v>91</v>
      </c>
      <c r="M741">
        <v>733</v>
      </c>
      <c r="N741">
        <v>383</v>
      </c>
      <c r="O741">
        <v>73</v>
      </c>
      <c r="P741">
        <v>9</v>
      </c>
    </row>
    <row r="742" spans="1:16" x14ac:dyDescent="0.2">
      <c r="A742" t="s">
        <v>341</v>
      </c>
      <c r="B742" t="s">
        <v>346</v>
      </c>
      <c r="C742" t="s">
        <v>689</v>
      </c>
      <c r="D742" t="s">
        <v>390</v>
      </c>
      <c r="E742">
        <v>1846</v>
      </c>
      <c r="F742">
        <v>359</v>
      </c>
      <c r="G742">
        <v>91.64</v>
      </c>
      <c r="L742">
        <v>82</v>
      </c>
      <c r="M742">
        <v>1215</v>
      </c>
      <c r="N742">
        <v>474</v>
      </c>
      <c r="O742">
        <v>65</v>
      </c>
      <c r="P742">
        <v>10</v>
      </c>
    </row>
    <row r="743" spans="1:16" x14ac:dyDescent="0.2">
      <c r="A743" t="s">
        <v>341</v>
      </c>
      <c r="B743" t="s">
        <v>347</v>
      </c>
      <c r="C743" t="s">
        <v>689</v>
      </c>
      <c r="D743" t="s">
        <v>390</v>
      </c>
      <c r="E743">
        <v>115</v>
      </c>
      <c r="F743">
        <v>23</v>
      </c>
      <c r="G743">
        <v>91.6</v>
      </c>
      <c r="L743">
        <v>37</v>
      </c>
      <c r="M743">
        <v>46</v>
      </c>
      <c r="N743">
        <v>1</v>
      </c>
      <c r="O743">
        <v>31</v>
      </c>
    </row>
    <row r="744" spans="1:16" x14ac:dyDescent="0.2">
      <c r="A744" t="s">
        <v>341</v>
      </c>
      <c r="B744" t="s">
        <v>348</v>
      </c>
      <c r="C744" t="s">
        <v>689</v>
      </c>
      <c r="D744" t="s">
        <v>390</v>
      </c>
      <c r="E744">
        <v>2</v>
      </c>
      <c r="G744">
        <v>31.5</v>
      </c>
      <c r="M744">
        <v>2</v>
      </c>
    </row>
    <row r="745" spans="1:16" x14ac:dyDescent="0.2">
      <c r="A745" t="s">
        <v>341</v>
      </c>
      <c r="B745" t="s">
        <v>417</v>
      </c>
      <c r="C745" t="s">
        <v>689</v>
      </c>
      <c r="D745" t="s">
        <v>390</v>
      </c>
      <c r="E745">
        <v>1963</v>
      </c>
      <c r="F745">
        <v>382</v>
      </c>
      <c r="G745">
        <v>91.58</v>
      </c>
      <c r="L745">
        <v>119</v>
      </c>
      <c r="M745">
        <v>1263</v>
      </c>
      <c r="N745">
        <v>475</v>
      </c>
      <c r="O745">
        <v>96</v>
      </c>
      <c r="P745">
        <v>10</v>
      </c>
    </row>
    <row r="746" spans="1:16" x14ac:dyDescent="0.2">
      <c r="A746" t="s">
        <v>341</v>
      </c>
      <c r="B746" t="s">
        <v>346</v>
      </c>
      <c r="C746" t="s">
        <v>690</v>
      </c>
      <c r="D746" t="s">
        <v>390</v>
      </c>
      <c r="E746">
        <v>1203</v>
      </c>
      <c r="F746">
        <v>253</v>
      </c>
      <c r="G746">
        <v>93</v>
      </c>
      <c r="L746">
        <v>54</v>
      </c>
      <c r="M746">
        <v>839</v>
      </c>
      <c r="N746">
        <v>253</v>
      </c>
      <c r="O746">
        <v>43</v>
      </c>
      <c r="P746">
        <v>14</v>
      </c>
    </row>
    <row r="747" spans="1:16" x14ac:dyDescent="0.2">
      <c r="A747" t="s">
        <v>341</v>
      </c>
      <c r="B747" t="s">
        <v>347</v>
      </c>
      <c r="C747" t="s">
        <v>690</v>
      </c>
      <c r="D747" t="s">
        <v>390</v>
      </c>
      <c r="E747">
        <v>91</v>
      </c>
      <c r="F747">
        <v>28</v>
      </c>
      <c r="G747">
        <v>97.66</v>
      </c>
      <c r="L747">
        <v>25</v>
      </c>
      <c r="M747">
        <v>48</v>
      </c>
      <c r="N747">
        <v>1</v>
      </c>
      <c r="O747">
        <v>16</v>
      </c>
      <c r="P747">
        <v>1</v>
      </c>
    </row>
    <row r="748" spans="1:16" x14ac:dyDescent="0.2">
      <c r="A748" t="s">
        <v>341</v>
      </c>
      <c r="B748" t="s">
        <v>348</v>
      </c>
      <c r="C748" t="s">
        <v>690</v>
      </c>
      <c r="D748" t="s">
        <v>390</v>
      </c>
      <c r="E748">
        <v>2</v>
      </c>
      <c r="G748">
        <v>45.5</v>
      </c>
      <c r="M748">
        <v>2</v>
      </c>
    </row>
    <row r="749" spans="1:16" x14ac:dyDescent="0.2">
      <c r="A749" t="s">
        <v>341</v>
      </c>
      <c r="B749" t="s">
        <v>417</v>
      </c>
      <c r="C749" t="s">
        <v>690</v>
      </c>
      <c r="D749" t="s">
        <v>390</v>
      </c>
      <c r="E749">
        <v>1296</v>
      </c>
      <c r="F749">
        <v>281</v>
      </c>
      <c r="G749">
        <v>93.25</v>
      </c>
      <c r="L749">
        <v>79</v>
      </c>
      <c r="M749">
        <v>889</v>
      </c>
      <c r="N749">
        <v>254</v>
      </c>
      <c r="O749">
        <v>59</v>
      </c>
      <c r="P749">
        <v>15</v>
      </c>
    </row>
    <row r="750" spans="1:16" x14ac:dyDescent="0.2">
      <c r="A750" t="s">
        <v>341</v>
      </c>
      <c r="B750" t="s">
        <v>346</v>
      </c>
      <c r="C750" t="s">
        <v>692</v>
      </c>
      <c r="D750" t="s">
        <v>390</v>
      </c>
      <c r="E750">
        <v>2218</v>
      </c>
      <c r="F750">
        <v>618</v>
      </c>
      <c r="G750">
        <v>107.5</v>
      </c>
      <c r="L750">
        <v>80</v>
      </c>
      <c r="M750">
        <v>1577</v>
      </c>
      <c r="N750">
        <v>448</v>
      </c>
      <c r="O750">
        <v>86</v>
      </c>
      <c r="P750">
        <v>27</v>
      </c>
    </row>
    <row r="751" spans="1:16" x14ac:dyDescent="0.2">
      <c r="A751" t="s">
        <v>341</v>
      </c>
      <c r="B751" t="s">
        <v>347</v>
      </c>
      <c r="C751" t="s">
        <v>692</v>
      </c>
      <c r="D751" t="s">
        <v>390</v>
      </c>
      <c r="E751">
        <v>217</v>
      </c>
      <c r="F751">
        <v>59</v>
      </c>
      <c r="G751">
        <v>98.02</v>
      </c>
      <c r="L751">
        <v>51</v>
      </c>
      <c r="M751">
        <v>109</v>
      </c>
      <c r="N751">
        <v>2</v>
      </c>
      <c r="O751">
        <v>49</v>
      </c>
      <c r="P751">
        <v>6</v>
      </c>
    </row>
    <row r="752" spans="1:16" x14ac:dyDescent="0.2">
      <c r="A752" t="s">
        <v>341</v>
      </c>
      <c r="B752" t="s">
        <v>348</v>
      </c>
      <c r="C752" t="s">
        <v>692</v>
      </c>
      <c r="D752" t="s">
        <v>390</v>
      </c>
      <c r="E752">
        <v>2</v>
      </c>
      <c r="F752">
        <v>1</v>
      </c>
      <c r="G752">
        <v>142.5</v>
      </c>
      <c r="M752">
        <v>1</v>
      </c>
      <c r="O752">
        <v>1</v>
      </c>
    </row>
    <row r="753" spans="1:16" x14ac:dyDescent="0.2">
      <c r="A753" t="s">
        <v>341</v>
      </c>
      <c r="B753" t="s">
        <v>417</v>
      </c>
      <c r="C753" t="s">
        <v>692</v>
      </c>
      <c r="D753" t="s">
        <v>390</v>
      </c>
      <c r="E753">
        <v>2437</v>
      </c>
      <c r="F753">
        <v>678</v>
      </c>
      <c r="G753">
        <v>106.68</v>
      </c>
      <c r="L753">
        <v>131</v>
      </c>
      <c r="M753">
        <v>1687</v>
      </c>
      <c r="N753">
        <v>450</v>
      </c>
      <c r="O753">
        <v>136</v>
      </c>
      <c r="P753">
        <v>33</v>
      </c>
    </row>
    <row r="754" spans="1:16" x14ac:dyDescent="0.2">
      <c r="A754" t="s">
        <v>341</v>
      </c>
      <c r="B754" t="s">
        <v>346</v>
      </c>
      <c r="C754" t="s">
        <v>693</v>
      </c>
      <c r="D754" t="s">
        <v>390</v>
      </c>
      <c r="E754">
        <v>4784</v>
      </c>
      <c r="F754">
        <v>1546</v>
      </c>
      <c r="G754">
        <v>115.91</v>
      </c>
      <c r="L754">
        <v>208</v>
      </c>
      <c r="M754">
        <v>3351</v>
      </c>
      <c r="N754">
        <v>1000</v>
      </c>
      <c r="O754">
        <v>186</v>
      </c>
      <c r="P754">
        <v>39</v>
      </c>
    </row>
    <row r="755" spans="1:16" x14ac:dyDescent="0.2">
      <c r="A755" t="s">
        <v>341</v>
      </c>
      <c r="B755" t="s">
        <v>347</v>
      </c>
      <c r="C755" t="s">
        <v>693</v>
      </c>
      <c r="D755" t="s">
        <v>390</v>
      </c>
      <c r="E755">
        <v>265</v>
      </c>
      <c r="F755">
        <v>60</v>
      </c>
      <c r="G755">
        <v>93</v>
      </c>
      <c r="L755">
        <v>81</v>
      </c>
      <c r="M755">
        <v>136</v>
      </c>
      <c r="N755">
        <v>2</v>
      </c>
      <c r="O755">
        <v>44</v>
      </c>
      <c r="P755">
        <v>2</v>
      </c>
    </row>
    <row r="756" spans="1:16" x14ac:dyDescent="0.2">
      <c r="A756" t="s">
        <v>341</v>
      </c>
      <c r="B756" t="s">
        <v>348</v>
      </c>
      <c r="C756" t="s">
        <v>693</v>
      </c>
      <c r="D756" t="s">
        <v>390</v>
      </c>
      <c r="E756">
        <v>10</v>
      </c>
      <c r="F756">
        <v>3</v>
      </c>
      <c r="G756">
        <v>155.69999999999999</v>
      </c>
      <c r="M756">
        <v>8</v>
      </c>
      <c r="N756">
        <v>2</v>
      </c>
    </row>
    <row r="757" spans="1:16" x14ac:dyDescent="0.2">
      <c r="A757" t="s">
        <v>341</v>
      </c>
      <c r="B757" t="s">
        <v>417</v>
      </c>
      <c r="C757" t="s">
        <v>693</v>
      </c>
      <c r="D757" t="s">
        <v>390</v>
      </c>
      <c r="E757">
        <v>5059</v>
      </c>
      <c r="F757">
        <v>1609</v>
      </c>
      <c r="G757">
        <v>114.78</v>
      </c>
      <c r="L757">
        <v>289</v>
      </c>
      <c r="M757">
        <v>3495</v>
      </c>
      <c r="N757">
        <v>1004</v>
      </c>
      <c r="O757">
        <v>230</v>
      </c>
      <c r="P757">
        <v>41</v>
      </c>
    </row>
    <row r="758" spans="1:16" x14ac:dyDescent="0.2">
      <c r="A758" t="s">
        <v>341</v>
      </c>
      <c r="B758" t="s">
        <v>346</v>
      </c>
      <c r="C758" t="s">
        <v>696</v>
      </c>
      <c r="D758" t="s">
        <v>390</v>
      </c>
      <c r="E758">
        <v>6475</v>
      </c>
      <c r="F758">
        <v>1402</v>
      </c>
      <c r="G758">
        <v>96.06</v>
      </c>
      <c r="L758">
        <v>363</v>
      </c>
      <c r="M758">
        <v>4080</v>
      </c>
      <c r="N758">
        <v>1663</v>
      </c>
      <c r="O758">
        <v>301</v>
      </c>
      <c r="P758">
        <v>67</v>
      </c>
    </row>
    <row r="759" spans="1:16" x14ac:dyDescent="0.2">
      <c r="A759" t="s">
        <v>341</v>
      </c>
      <c r="B759" t="s">
        <v>347</v>
      </c>
      <c r="C759" t="s">
        <v>696</v>
      </c>
      <c r="D759" t="s">
        <v>390</v>
      </c>
      <c r="E759">
        <v>501</v>
      </c>
      <c r="F759">
        <v>128</v>
      </c>
      <c r="G759">
        <v>100.14</v>
      </c>
      <c r="L759">
        <v>119</v>
      </c>
      <c r="M759">
        <v>241</v>
      </c>
      <c r="N759">
        <v>6</v>
      </c>
      <c r="O759">
        <v>128</v>
      </c>
      <c r="P759">
        <v>7</v>
      </c>
    </row>
    <row r="760" spans="1:16" x14ac:dyDescent="0.2">
      <c r="A760" t="s">
        <v>341</v>
      </c>
      <c r="B760" t="s">
        <v>348</v>
      </c>
      <c r="C760" t="s">
        <v>696</v>
      </c>
      <c r="D760" t="s">
        <v>390</v>
      </c>
      <c r="E760">
        <v>7</v>
      </c>
      <c r="F760">
        <v>1</v>
      </c>
      <c r="G760">
        <v>71.430000000000007</v>
      </c>
      <c r="L760">
        <v>1</v>
      </c>
      <c r="M760">
        <v>5</v>
      </c>
      <c r="N760">
        <v>1</v>
      </c>
    </row>
    <row r="761" spans="1:16" x14ac:dyDescent="0.2">
      <c r="A761" t="s">
        <v>341</v>
      </c>
      <c r="B761" t="s">
        <v>417</v>
      </c>
      <c r="C761" t="s">
        <v>696</v>
      </c>
      <c r="D761" t="s">
        <v>390</v>
      </c>
      <c r="E761">
        <v>6983</v>
      </c>
      <c r="F761">
        <v>1531</v>
      </c>
      <c r="G761">
        <v>96.33</v>
      </c>
      <c r="L761">
        <v>483</v>
      </c>
      <c r="M761">
        <v>4326</v>
      </c>
      <c r="N761">
        <v>1670</v>
      </c>
      <c r="O761">
        <v>429</v>
      </c>
      <c r="P761">
        <v>74</v>
      </c>
    </row>
    <row r="762" spans="1:16" x14ac:dyDescent="0.2">
      <c r="A762" t="s">
        <v>341</v>
      </c>
      <c r="B762" t="s">
        <v>346</v>
      </c>
      <c r="C762" t="s">
        <v>701</v>
      </c>
      <c r="D762" t="s">
        <v>390</v>
      </c>
      <c r="E762">
        <v>3034</v>
      </c>
      <c r="F762">
        <v>1155</v>
      </c>
      <c r="G762">
        <v>123.28</v>
      </c>
      <c r="L762">
        <v>119</v>
      </c>
      <c r="M762">
        <v>2127</v>
      </c>
      <c r="N762">
        <v>668</v>
      </c>
      <c r="O762">
        <v>111</v>
      </c>
      <c r="P762">
        <v>9</v>
      </c>
    </row>
    <row r="763" spans="1:16" x14ac:dyDescent="0.2">
      <c r="A763" t="s">
        <v>341</v>
      </c>
      <c r="B763" t="s">
        <v>347</v>
      </c>
      <c r="C763" t="s">
        <v>701</v>
      </c>
      <c r="D763" t="s">
        <v>390</v>
      </c>
      <c r="E763">
        <v>239</v>
      </c>
      <c r="F763">
        <v>63</v>
      </c>
      <c r="G763">
        <v>95.28</v>
      </c>
      <c r="L763">
        <v>79</v>
      </c>
      <c r="M763">
        <v>119</v>
      </c>
      <c r="N763">
        <v>2</v>
      </c>
      <c r="O763">
        <v>37</v>
      </c>
      <c r="P763">
        <v>2</v>
      </c>
    </row>
    <row r="764" spans="1:16" x14ac:dyDescent="0.2">
      <c r="A764" t="s">
        <v>341</v>
      </c>
      <c r="B764" t="s">
        <v>348</v>
      </c>
      <c r="C764" t="s">
        <v>701</v>
      </c>
      <c r="D764" t="s">
        <v>390</v>
      </c>
      <c r="E764">
        <v>6</v>
      </c>
      <c r="F764">
        <v>4</v>
      </c>
      <c r="G764">
        <v>181.33</v>
      </c>
      <c r="M764">
        <v>4</v>
      </c>
      <c r="N764">
        <v>1</v>
      </c>
      <c r="O764">
        <v>1</v>
      </c>
    </row>
    <row r="765" spans="1:16" x14ac:dyDescent="0.2">
      <c r="A765" t="s">
        <v>341</v>
      </c>
      <c r="B765" t="s">
        <v>417</v>
      </c>
      <c r="C765" t="s">
        <v>701</v>
      </c>
      <c r="D765" t="s">
        <v>390</v>
      </c>
      <c r="E765">
        <v>3279</v>
      </c>
      <c r="F765">
        <v>1222</v>
      </c>
      <c r="G765">
        <v>121.35</v>
      </c>
      <c r="L765">
        <v>198</v>
      </c>
      <c r="M765">
        <v>2250</v>
      </c>
      <c r="N765">
        <v>671</v>
      </c>
      <c r="O765">
        <v>149</v>
      </c>
      <c r="P765">
        <v>11</v>
      </c>
    </row>
    <row r="766" spans="1:16" x14ac:dyDescent="0.2">
      <c r="A766" t="s">
        <v>341</v>
      </c>
      <c r="B766" t="s">
        <v>346</v>
      </c>
      <c r="C766" t="s">
        <v>709</v>
      </c>
      <c r="D766" t="s">
        <v>390</v>
      </c>
      <c r="E766">
        <v>458</v>
      </c>
      <c r="F766">
        <v>126</v>
      </c>
      <c r="G766">
        <v>102.89</v>
      </c>
      <c r="L766">
        <v>20</v>
      </c>
      <c r="M766">
        <v>334</v>
      </c>
      <c r="N766">
        <v>84</v>
      </c>
      <c r="O766">
        <v>15</v>
      </c>
      <c r="P766">
        <v>5</v>
      </c>
    </row>
    <row r="767" spans="1:16" x14ac:dyDescent="0.2">
      <c r="A767" t="s">
        <v>341</v>
      </c>
      <c r="B767" t="s">
        <v>347</v>
      </c>
      <c r="C767" t="s">
        <v>709</v>
      </c>
      <c r="D767" t="s">
        <v>390</v>
      </c>
      <c r="E767">
        <v>28</v>
      </c>
      <c r="F767">
        <v>8</v>
      </c>
      <c r="G767">
        <v>108.96</v>
      </c>
      <c r="L767">
        <v>8</v>
      </c>
      <c r="M767">
        <v>14</v>
      </c>
      <c r="O767">
        <v>6</v>
      </c>
    </row>
    <row r="768" spans="1:16" x14ac:dyDescent="0.2">
      <c r="A768" t="s">
        <v>341</v>
      </c>
      <c r="B768" t="s">
        <v>417</v>
      </c>
      <c r="C768" t="s">
        <v>709</v>
      </c>
      <c r="D768" t="s">
        <v>390</v>
      </c>
      <c r="E768">
        <v>486</v>
      </c>
      <c r="F768">
        <v>134</v>
      </c>
      <c r="G768">
        <v>103.24</v>
      </c>
      <c r="L768">
        <v>28</v>
      </c>
      <c r="M768">
        <v>348</v>
      </c>
      <c r="N768">
        <v>84</v>
      </c>
      <c r="O768">
        <v>21</v>
      </c>
      <c r="P768">
        <v>5</v>
      </c>
    </row>
    <row r="769" spans="1:16" x14ac:dyDescent="0.2">
      <c r="A769" t="s">
        <v>341</v>
      </c>
      <c r="B769" t="s">
        <v>417</v>
      </c>
      <c r="C769" t="s">
        <v>359</v>
      </c>
      <c r="D769" t="s">
        <v>390</v>
      </c>
      <c r="E769">
        <v>3551</v>
      </c>
      <c r="F769">
        <v>1124</v>
      </c>
      <c r="G769">
        <v>120.52</v>
      </c>
      <c r="H769">
        <v>365</v>
      </c>
      <c r="I769">
        <v>5396</v>
      </c>
      <c r="J769">
        <v>144.80000000000001</v>
      </c>
      <c r="K769">
        <v>134.63999999999999</v>
      </c>
      <c r="L769">
        <v>182</v>
      </c>
      <c r="M769">
        <v>2434</v>
      </c>
      <c r="N769">
        <v>784</v>
      </c>
      <c r="O769">
        <v>134</v>
      </c>
      <c r="P769">
        <v>17</v>
      </c>
    </row>
    <row r="770" spans="1:16" x14ac:dyDescent="0.2">
      <c r="A770" t="s">
        <v>341</v>
      </c>
      <c r="B770" t="s">
        <v>417</v>
      </c>
      <c r="C770" t="s">
        <v>386</v>
      </c>
      <c r="D770" t="s">
        <v>390</v>
      </c>
      <c r="E770">
        <v>70928</v>
      </c>
      <c r="F770">
        <v>14347</v>
      </c>
      <c r="G770">
        <v>90.37</v>
      </c>
      <c r="H770">
        <v>10022</v>
      </c>
      <c r="I770">
        <v>113738</v>
      </c>
      <c r="J770">
        <v>125.35</v>
      </c>
      <c r="K770">
        <v>109.09</v>
      </c>
      <c r="L770">
        <v>4566</v>
      </c>
      <c r="M770">
        <v>43943</v>
      </c>
      <c r="N770">
        <v>18079</v>
      </c>
      <c r="O770">
        <v>3676</v>
      </c>
      <c r="P770">
        <v>663</v>
      </c>
    </row>
    <row r="771" spans="1:16" x14ac:dyDescent="0.2">
      <c r="A771" t="s">
        <v>341</v>
      </c>
      <c r="B771" t="s">
        <v>417</v>
      </c>
      <c r="C771" t="s">
        <v>385</v>
      </c>
      <c r="D771" t="s">
        <v>390</v>
      </c>
      <c r="E771">
        <v>135058</v>
      </c>
      <c r="F771">
        <v>30439</v>
      </c>
      <c r="G771">
        <v>95.44</v>
      </c>
      <c r="H771">
        <v>18498</v>
      </c>
      <c r="I771">
        <v>206169</v>
      </c>
      <c r="J771">
        <v>127.24</v>
      </c>
      <c r="K771">
        <v>113.74</v>
      </c>
      <c r="L771">
        <v>9156</v>
      </c>
      <c r="M771">
        <v>85388</v>
      </c>
      <c r="N771">
        <v>32052</v>
      </c>
      <c r="O771">
        <v>7262</v>
      </c>
      <c r="P771">
        <v>1200</v>
      </c>
    </row>
    <row r="772" spans="1:16" x14ac:dyDescent="0.2">
      <c r="A772" t="s">
        <v>341</v>
      </c>
      <c r="B772" t="s">
        <v>417</v>
      </c>
      <c r="C772" t="s">
        <v>387</v>
      </c>
      <c r="D772" t="s">
        <v>390</v>
      </c>
      <c r="E772">
        <v>85706</v>
      </c>
      <c r="F772">
        <v>19586</v>
      </c>
      <c r="G772">
        <v>96.42</v>
      </c>
      <c r="H772">
        <v>12621</v>
      </c>
      <c r="I772">
        <v>137197</v>
      </c>
      <c r="J772">
        <v>124.5</v>
      </c>
      <c r="K772">
        <v>113.31</v>
      </c>
      <c r="L772">
        <v>6372</v>
      </c>
      <c r="M772">
        <v>56280</v>
      </c>
      <c r="N772">
        <v>17485</v>
      </c>
      <c r="O772">
        <v>4713</v>
      </c>
      <c r="P772">
        <v>856</v>
      </c>
    </row>
    <row r="773" spans="1:16" x14ac:dyDescent="0.2">
      <c r="A773" t="s">
        <v>341</v>
      </c>
      <c r="B773" t="s">
        <v>417</v>
      </c>
      <c r="C773" t="s">
        <v>388</v>
      </c>
      <c r="D773" t="s">
        <v>390</v>
      </c>
      <c r="E773">
        <v>70341</v>
      </c>
      <c r="F773">
        <v>16470</v>
      </c>
      <c r="G773">
        <v>97.51</v>
      </c>
      <c r="H773">
        <v>9575</v>
      </c>
      <c r="I773">
        <v>109837</v>
      </c>
      <c r="J773">
        <v>127.64</v>
      </c>
      <c r="K773">
        <v>115.13</v>
      </c>
      <c r="L773">
        <v>4256</v>
      </c>
      <c r="M773">
        <v>46596</v>
      </c>
      <c r="N773">
        <v>15148</v>
      </c>
      <c r="O773">
        <v>3662</v>
      </c>
      <c r="P773">
        <v>678</v>
      </c>
    </row>
    <row r="774" spans="1:16" x14ac:dyDescent="0.2">
      <c r="A774" t="s">
        <v>341</v>
      </c>
      <c r="B774" t="s">
        <v>346</v>
      </c>
      <c r="C774" t="s">
        <v>359</v>
      </c>
      <c r="D774" t="s">
        <v>390</v>
      </c>
      <c r="E774">
        <v>3357</v>
      </c>
      <c r="F774">
        <v>1063</v>
      </c>
      <c r="G774">
        <v>121.19</v>
      </c>
      <c r="H774">
        <v>345</v>
      </c>
      <c r="I774">
        <v>5148</v>
      </c>
      <c r="J774">
        <v>146.13999999999999</v>
      </c>
      <c r="K774">
        <v>135.08000000000001</v>
      </c>
      <c r="L774">
        <v>136</v>
      </c>
      <c r="M774">
        <v>2323</v>
      </c>
      <c r="N774">
        <v>782</v>
      </c>
      <c r="O774">
        <v>100</v>
      </c>
      <c r="P774">
        <v>16</v>
      </c>
    </row>
    <row r="775" spans="1:16" x14ac:dyDescent="0.2">
      <c r="A775" t="s">
        <v>341</v>
      </c>
      <c r="B775" t="s">
        <v>346</v>
      </c>
      <c r="C775" t="s">
        <v>386</v>
      </c>
      <c r="D775" t="s">
        <v>390</v>
      </c>
      <c r="E775">
        <v>66394</v>
      </c>
      <c r="F775">
        <v>13177</v>
      </c>
      <c r="G775">
        <v>89.87</v>
      </c>
      <c r="H775">
        <v>9475</v>
      </c>
      <c r="I775">
        <v>106883</v>
      </c>
      <c r="J775">
        <v>124.87</v>
      </c>
      <c r="K775">
        <v>109.42</v>
      </c>
      <c r="L775">
        <v>3421</v>
      </c>
      <c r="M775">
        <v>41729</v>
      </c>
      <c r="N775">
        <v>18034</v>
      </c>
      <c r="O775">
        <v>2633</v>
      </c>
      <c r="P775">
        <v>576</v>
      </c>
    </row>
    <row r="776" spans="1:16" x14ac:dyDescent="0.2">
      <c r="A776" t="s">
        <v>341</v>
      </c>
      <c r="B776" t="s">
        <v>346</v>
      </c>
      <c r="C776" t="s">
        <v>385</v>
      </c>
      <c r="D776" t="s">
        <v>390</v>
      </c>
      <c r="E776">
        <v>125262</v>
      </c>
      <c r="F776">
        <v>28250</v>
      </c>
      <c r="G776">
        <v>95.72</v>
      </c>
      <c r="H776">
        <v>17455</v>
      </c>
      <c r="I776">
        <v>194604</v>
      </c>
      <c r="J776">
        <v>127.66</v>
      </c>
      <c r="K776">
        <v>115.03</v>
      </c>
      <c r="L776">
        <v>6228</v>
      </c>
      <c r="M776">
        <v>80977</v>
      </c>
      <c r="N776">
        <v>31937</v>
      </c>
      <c r="O776">
        <v>5046</v>
      </c>
      <c r="P776">
        <v>1074</v>
      </c>
    </row>
    <row r="777" spans="1:16" x14ac:dyDescent="0.2">
      <c r="A777" t="s">
        <v>341</v>
      </c>
      <c r="B777" t="s">
        <v>346</v>
      </c>
      <c r="C777" t="s">
        <v>387</v>
      </c>
      <c r="D777" t="s">
        <v>390</v>
      </c>
      <c r="E777">
        <v>77464</v>
      </c>
      <c r="F777">
        <v>17748</v>
      </c>
      <c r="G777">
        <v>96.93</v>
      </c>
      <c r="H777">
        <v>11759</v>
      </c>
      <c r="I777">
        <v>126631</v>
      </c>
      <c r="J777">
        <v>124.9</v>
      </c>
      <c r="K777">
        <v>115.62</v>
      </c>
      <c r="L777">
        <v>3848</v>
      </c>
      <c r="M777">
        <v>52441</v>
      </c>
      <c r="N777">
        <v>17408</v>
      </c>
      <c r="O777">
        <v>3030</v>
      </c>
      <c r="P777">
        <v>737</v>
      </c>
    </row>
    <row r="778" spans="1:16" x14ac:dyDescent="0.2">
      <c r="A778" t="s">
        <v>341</v>
      </c>
      <c r="B778" t="s">
        <v>346</v>
      </c>
      <c r="C778" t="s">
        <v>388</v>
      </c>
      <c r="D778" t="s">
        <v>390</v>
      </c>
      <c r="E778">
        <v>65238</v>
      </c>
      <c r="F778">
        <v>15133</v>
      </c>
      <c r="G778">
        <v>97.48</v>
      </c>
      <c r="H778">
        <v>9012</v>
      </c>
      <c r="I778">
        <v>102457</v>
      </c>
      <c r="J778">
        <v>128</v>
      </c>
      <c r="K778">
        <v>115.99</v>
      </c>
      <c r="L778">
        <v>2993</v>
      </c>
      <c r="M778">
        <v>44007</v>
      </c>
      <c r="N778">
        <v>15081</v>
      </c>
      <c r="O778">
        <v>2563</v>
      </c>
      <c r="P778">
        <v>593</v>
      </c>
    </row>
    <row r="779" spans="1:16" x14ac:dyDescent="0.2">
      <c r="A779" t="s">
        <v>341</v>
      </c>
      <c r="B779" t="s">
        <v>347</v>
      </c>
      <c r="C779" t="s">
        <v>359</v>
      </c>
      <c r="D779" t="s">
        <v>390</v>
      </c>
      <c r="E779">
        <v>193</v>
      </c>
      <c r="F779">
        <v>61</v>
      </c>
      <c r="G779">
        <v>109.17</v>
      </c>
      <c r="H779">
        <v>18</v>
      </c>
      <c r="I779">
        <v>234</v>
      </c>
      <c r="J779">
        <v>131.56</v>
      </c>
      <c r="K779">
        <v>130.86000000000001</v>
      </c>
      <c r="L779">
        <v>46</v>
      </c>
      <c r="M779">
        <v>110</v>
      </c>
      <c r="N779">
        <v>2</v>
      </c>
      <c r="O779">
        <v>34</v>
      </c>
      <c r="P779">
        <v>1</v>
      </c>
    </row>
    <row r="780" spans="1:16" x14ac:dyDescent="0.2">
      <c r="A780" t="s">
        <v>341</v>
      </c>
      <c r="B780" t="s">
        <v>347</v>
      </c>
      <c r="C780" t="s">
        <v>386</v>
      </c>
      <c r="D780" t="s">
        <v>390</v>
      </c>
      <c r="E780">
        <v>4455</v>
      </c>
      <c r="F780">
        <v>1151</v>
      </c>
      <c r="G780">
        <v>97.74</v>
      </c>
      <c r="H780">
        <v>535</v>
      </c>
      <c r="I780">
        <v>6626</v>
      </c>
      <c r="J780">
        <v>125.47</v>
      </c>
      <c r="K780">
        <v>102.8</v>
      </c>
      <c r="L780">
        <v>1136</v>
      </c>
      <c r="M780">
        <v>2163</v>
      </c>
      <c r="N780">
        <v>31</v>
      </c>
      <c r="O780">
        <v>1039</v>
      </c>
      <c r="P780">
        <v>86</v>
      </c>
    </row>
    <row r="781" spans="1:16" x14ac:dyDescent="0.2">
      <c r="A781" t="s">
        <v>341</v>
      </c>
      <c r="B781" t="s">
        <v>347</v>
      </c>
      <c r="C781" t="s">
        <v>385</v>
      </c>
      <c r="D781" t="s">
        <v>390</v>
      </c>
      <c r="E781">
        <v>9576</v>
      </c>
      <c r="F781">
        <v>2136</v>
      </c>
      <c r="G781">
        <v>91.45</v>
      </c>
      <c r="H781">
        <v>1011</v>
      </c>
      <c r="I781">
        <v>11094</v>
      </c>
      <c r="J781">
        <v>119.25</v>
      </c>
      <c r="K781">
        <v>90.95</v>
      </c>
      <c r="L781">
        <v>2909</v>
      </c>
      <c r="M781">
        <v>4265</v>
      </c>
      <c r="N781">
        <v>66</v>
      </c>
      <c r="O781">
        <v>2211</v>
      </c>
      <c r="P781">
        <v>125</v>
      </c>
    </row>
    <row r="782" spans="1:16" x14ac:dyDescent="0.2">
      <c r="A782" t="s">
        <v>341</v>
      </c>
      <c r="B782" t="s">
        <v>347</v>
      </c>
      <c r="C782" t="s">
        <v>387</v>
      </c>
      <c r="D782" t="s">
        <v>390</v>
      </c>
      <c r="E782">
        <v>8109</v>
      </c>
      <c r="F782">
        <v>1797</v>
      </c>
      <c r="G782">
        <v>91.26</v>
      </c>
      <c r="H782">
        <v>839</v>
      </c>
      <c r="I782">
        <v>10315</v>
      </c>
      <c r="J782">
        <v>119.54</v>
      </c>
      <c r="K782">
        <v>85.23</v>
      </c>
      <c r="L782">
        <v>2514</v>
      </c>
      <c r="M782">
        <v>3755</v>
      </c>
      <c r="N782">
        <v>47</v>
      </c>
      <c r="O782">
        <v>1676</v>
      </c>
      <c r="P782">
        <v>117</v>
      </c>
    </row>
    <row r="783" spans="1:16" x14ac:dyDescent="0.2">
      <c r="A783" t="s">
        <v>341</v>
      </c>
      <c r="B783" t="s">
        <v>347</v>
      </c>
      <c r="C783" t="s">
        <v>388</v>
      </c>
      <c r="D783" t="s">
        <v>390</v>
      </c>
      <c r="E783">
        <v>4996</v>
      </c>
      <c r="F783">
        <v>1315</v>
      </c>
      <c r="G783">
        <v>97.8</v>
      </c>
      <c r="H783">
        <v>547</v>
      </c>
      <c r="I783">
        <v>7162</v>
      </c>
      <c r="J783">
        <v>123.09</v>
      </c>
      <c r="K783">
        <v>103.27</v>
      </c>
      <c r="L783">
        <v>1251</v>
      </c>
      <c r="M783">
        <v>2524</v>
      </c>
      <c r="N783">
        <v>40</v>
      </c>
      <c r="O783">
        <v>1096</v>
      </c>
      <c r="P783">
        <v>85</v>
      </c>
    </row>
    <row r="784" spans="1:16" x14ac:dyDescent="0.2">
      <c r="A784" t="s">
        <v>341</v>
      </c>
      <c r="B784" t="s">
        <v>348</v>
      </c>
      <c r="C784" t="s">
        <v>359</v>
      </c>
      <c r="D784" t="s">
        <v>390</v>
      </c>
      <c r="E784">
        <v>1</v>
      </c>
      <c r="G784">
        <v>51</v>
      </c>
      <c r="H784">
        <v>2</v>
      </c>
      <c r="I784">
        <v>14</v>
      </c>
      <c r="J784">
        <v>32.5</v>
      </c>
      <c r="K784">
        <v>35.5</v>
      </c>
      <c r="M784">
        <v>1</v>
      </c>
    </row>
    <row r="785" spans="1:16" x14ac:dyDescent="0.2">
      <c r="A785" t="s">
        <v>341</v>
      </c>
      <c r="B785" t="s">
        <v>348</v>
      </c>
      <c r="C785" t="s">
        <v>386</v>
      </c>
      <c r="D785" t="s">
        <v>390</v>
      </c>
      <c r="E785">
        <v>79</v>
      </c>
      <c r="F785">
        <v>19</v>
      </c>
      <c r="G785">
        <v>98.78</v>
      </c>
      <c r="H785">
        <v>9</v>
      </c>
      <c r="I785">
        <v>214</v>
      </c>
      <c r="J785">
        <v>296</v>
      </c>
      <c r="K785">
        <v>107.49</v>
      </c>
      <c r="L785">
        <v>9</v>
      </c>
      <c r="M785">
        <v>51</v>
      </c>
      <c r="N785">
        <v>14</v>
      </c>
      <c r="O785">
        <v>4</v>
      </c>
      <c r="P785">
        <v>1</v>
      </c>
    </row>
    <row r="786" spans="1:16" x14ac:dyDescent="0.2">
      <c r="A786" t="s">
        <v>341</v>
      </c>
      <c r="B786" t="s">
        <v>348</v>
      </c>
      <c r="C786" t="s">
        <v>385</v>
      </c>
      <c r="D786" t="s">
        <v>390</v>
      </c>
      <c r="E786">
        <v>213</v>
      </c>
      <c r="F786">
        <v>50</v>
      </c>
      <c r="G786">
        <v>109.44</v>
      </c>
      <c r="H786">
        <v>32</v>
      </c>
      <c r="I786">
        <v>454</v>
      </c>
      <c r="J786">
        <v>153.13</v>
      </c>
      <c r="K786">
        <v>106.87</v>
      </c>
      <c r="L786">
        <v>19</v>
      </c>
      <c r="M786">
        <v>140</v>
      </c>
      <c r="N786">
        <v>48</v>
      </c>
      <c r="O786">
        <v>5</v>
      </c>
      <c r="P786">
        <v>1</v>
      </c>
    </row>
    <row r="787" spans="1:16" x14ac:dyDescent="0.2">
      <c r="A787" t="s">
        <v>341</v>
      </c>
      <c r="B787" t="s">
        <v>348</v>
      </c>
      <c r="C787" t="s">
        <v>387</v>
      </c>
      <c r="D787" t="s">
        <v>390</v>
      </c>
      <c r="E787">
        <v>129</v>
      </c>
      <c r="F787">
        <v>39</v>
      </c>
      <c r="G787">
        <v>107.84</v>
      </c>
      <c r="H787">
        <v>23</v>
      </c>
      <c r="I787">
        <v>244</v>
      </c>
      <c r="J787">
        <v>101.09</v>
      </c>
      <c r="K787">
        <v>97.23</v>
      </c>
      <c r="L787">
        <v>10</v>
      </c>
      <c r="M787">
        <v>80</v>
      </c>
      <c r="N787">
        <v>30</v>
      </c>
      <c r="O787">
        <v>7</v>
      </c>
      <c r="P787">
        <v>2</v>
      </c>
    </row>
    <row r="788" spans="1:16" x14ac:dyDescent="0.2">
      <c r="A788" t="s">
        <v>341</v>
      </c>
      <c r="B788" t="s">
        <v>348</v>
      </c>
      <c r="C788" t="s">
        <v>388</v>
      </c>
      <c r="D788" t="s">
        <v>390</v>
      </c>
      <c r="E788">
        <v>103</v>
      </c>
      <c r="F788">
        <v>21</v>
      </c>
      <c r="G788">
        <v>106.24</v>
      </c>
      <c r="H788">
        <v>15</v>
      </c>
      <c r="I788">
        <v>202</v>
      </c>
      <c r="J788">
        <v>87.47</v>
      </c>
      <c r="K788">
        <v>89.59</v>
      </c>
      <c r="L788">
        <v>12</v>
      </c>
      <c r="M788">
        <v>62</v>
      </c>
      <c r="N788">
        <v>26</v>
      </c>
      <c r="O788">
        <v>3</v>
      </c>
    </row>
    <row r="789" spans="1:16" x14ac:dyDescent="0.2">
      <c r="A789" t="s">
        <v>341</v>
      </c>
      <c r="B789" t="s">
        <v>349</v>
      </c>
      <c r="C789" t="s">
        <v>386</v>
      </c>
      <c r="D789" t="s">
        <v>390</v>
      </c>
      <c r="H789">
        <v>3</v>
      </c>
      <c r="I789">
        <v>15</v>
      </c>
      <c r="J789">
        <v>1090.67</v>
      </c>
      <c r="K789">
        <v>549.87</v>
      </c>
    </row>
    <row r="790" spans="1:16" x14ac:dyDescent="0.2">
      <c r="A790" t="s">
        <v>341</v>
      </c>
      <c r="B790" t="s">
        <v>349</v>
      </c>
      <c r="C790" t="s">
        <v>385</v>
      </c>
      <c r="D790" t="s">
        <v>390</v>
      </c>
      <c r="E790">
        <v>7</v>
      </c>
      <c r="F790">
        <v>3</v>
      </c>
      <c r="G790">
        <v>217.14</v>
      </c>
      <c r="I790">
        <v>17</v>
      </c>
      <c r="K790">
        <v>322.06</v>
      </c>
      <c r="M790">
        <v>6</v>
      </c>
      <c r="N790">
        <v>1</v>
      </c>
    </row>
    <row r="791" spans="1:16" x14ac:dyDescent="0.2">
      <c r="A791" t="s">
        <v>341</v>
      </c>
      <c r="B791" t="s">
        <v>349</v>
      </c>
      <c r="C791" t="s">
        <v>387</v>
      </c>
      <c r="D791" t="s">
        <v>390</v>
      </c>
      <c r="E791">
        <v>4</v>
      </c>
      <c r="F791">
        <v>2</v>
      </c>
      <c r="G791">
        <v>224.75</v>
      </c>
      <c r="I791">
        <v>7</v>
      </c>
      <c r="K791">
        <v>333.29</v>
      </c>
      <c r="M791">
        <v>4</v>
      </c>
    </row>
    <row r="792" spans="1:16" x14ac:dyDescent="0.2">
      <c r="A792" t="s">
        <v>341</v>
      </c>
      <c r="B792" t="s">
        <v>349</v>
      </c>
      <c r="C792" t="s">
        <v>388</v>
      </c>
      <c r="D792" t="s">
        <v>390</v>
      </c>
      <c r="E792">
        <v>4</v>
      </c>
      <c r="F792">
        <v>1</v>
      </c>
      <c r="G792">
        <v>56.25</v>
      </c>
      <c r="H792">
        <v>1</v>
      </c>
      <c r="I792">
        <v>16</v>
      </c>
      <c r="J792">
        <v>1</v>
      </c>
      <c r="K792">
        <v>255.06</v>
      </c>
      <c r="M792">
        <v>3</v>
      </c>
      <c r="N792">
        <v>1</v>
      </c>
    </row>
    <row r="793" spans="1:16" x14ac:dyDescent="0.2">
      <c r="A793" t="s">
        <v>341</v>
      </c>
      <c r="B793" t="s">
        <v>417</v>
      </c>
      <c r="C793" t="s">
        <v>390</v>
      </c>
      <c r="D793" t="s">
        <v>390</v>
      </c>
      <c r="E793">
        <v>251510</v>
      </c>
      <c r="F793">
        <v>46885</v>
      </c>
      <c r="G793">
        <v>88.57</v>
      </c>
      <c r="H793">
        <v>283</v>
      </c>
      <c r="I793">
        <v>2794</v>
      </c>
      <c r="J793">
        <v>90.43</v>
      </c>
      <c r="K793">
        <v>91.42</v>
      </c>
      <c r="L793">
        <v>8259</v>
      </c>
      <c r="M793">
        <v>170610</v>
      </c>
      <c r="N793">
        <v>67999</v>
      </c>
      <c r="O793">
        <v>4642</v>
      </c>
    </row>
    <row r="794" spans="1:16" x14ac:dyDescent="0.2">
      <c r="A794" t="s">
        <v>341</v>
      </c>
      <c r="B794" t="s">
        <v>346</v>
      </c>
      <c r="C794" t="s">
        <v>390</v>
      </c>
      <c r="D794" t="s">
        <v>390</v>
      </c>
      <c r="E794">
        <v>229989</v>
      </c>
      <c r="F794">
        <v>43060</v>
      </c>
      <c r="G794">
        <v>88.73</v>
      </c>
      <c r="H794">
        <v>212</v>
      </c>
      <c r="I794">
        <v>2503</v>
      </c>
      <c r="J794">
        <v>93.75</v>
      </c>
      <c r="K794">
        <v>92.36</v>
      </c>
      <c r="L794">
        <v>2334</v>
      </c>
      <c r="M794">
        <v>159157</v>
      </c>
      <c r="N794">
        <v>67821</v>
      </c>
      <c r="O794">
        <v>677</v>
      </c>
    </row>
    <row r="795" spans="1:16" x14ac:dyDescent="0.2">
      <c r="A795" t="s">
        <v>341</v>
      </c>
      <c r="B795" t="s">
        <v>347</v>
      </c>
      <c r="C795" t="s">
        <v>390</v>
      </c>
      <c r="D795" t="s">
        <v>390</v>
      </c>
      <c r="E795">
        <v>21196</v>
      </c>
      <c r="F795">
        <v>3759</v>
      </c>
      <c r="G795">
        <v>86.72</v>
      </c>
      <c r="H795">
        <v>69</v>
      </c>
      <c r="I795">
        <v>265</v>
      </c>
      <c r="J795">
        <v>81.25</v>
      </c>
      <c r="K795">
        <v>87.79</v>
      </c>
      <c r="L795">
        <v>5921</v>
      </c>
      <c r="M795">
        <v>11218</v>
      </c>
      <c r="N795">
        <v>93</v>
      </c>
      <c r="O795">
        <v>3964</v>
      </c>
    </row>
    <row r="796" spans="1:16" x14ac:dyDescent="0.2">
      <c r="A796" t="s">
        <v>341</v>
      </c>
      <c r="B796" t="s">
        <v>348</v>
      </c>
      <c r="C796" t="s">
        <v>390</v>
      </c>
      <c r="D796" t="s">
        <v>390</v>
      </c>
      <c r="E796">
        <v>318</v>
      </c>
      <c r="F796">
        <v>64</v>
      </c>
      <c r="G796">
        <v>96.31</v>
      </c>
      <c r="H796">
        <v>2</v>
      </c>
      <c r="I796">
        <v>25</v>
      </c>
      <c r="J796">
        <v>55.5</v>
      </c>
      <c r="K796">
        <v>39.159999999999997</v>
      </c>
      <c r="L796">
        <v>4</v>
      </c>
      <c r="M796">
        <v>228</v>
      </c>
      <c r="N796">
        <v>85</v>
      </c>
      <c r="O796">
        <v>1</v>
      </c>
    </row>
    <row r="797" spans="1:16" x14ac:dyDescent="0.2">
      <c r="A797" t="s">
        <v>341</v>
      </c>
      <c r="B797" t="s">
        <v>349</v>
      </c>
      <c r="C797" t="s">
        <v>390</v>
      </c>
      <c r="D797" t="s">
        <v>390</v>
      </c>
      <c r="E797">
        <v>7</v>
      </c>
      <c r="F797">
        <v>2</v>
      </c>
      <c r="G797">
        <v>103.29</v>
      </c>
      <c r="I797">
        <v>1</v>
      </c>
      <c r="K797">
        <v>1</v>
      </c>
      <c r="M797">
        <v>7</v>
      </c>
    </row>
    <row r="798" spans="1:16" x14ac:dyDescent="0.2">
      <c r="A798" t="s">
        <v>343</v>
      </c>
      <c r="B798" t="s">
        <v>338</v>
      </c>
      <c r="C798" t="s">
        <v>649</v>
      </c>
      <c r="D798" t="s">
        <v>338</v>
      </c>
      <c r="E798">
        <v>164562</v>
      </c>
      <c r="G798">
        <v>387.53</v>
      </c>
    </row>
    <row r="799" spans="1:16" x14ac:dyDescent="0.2">
      <c r="A799" t="s">
        <v>343</v>
      </c>
      <c r="B799" t="s">
        <v>338</v>
      </c>
      <c r="C799" t="s">
        <v>649</v>
      </c>
      <c r="D799" t="s">
        <v>343</v>
      </c>
      <c r="E799">
        <v>2392</v>
      </c>
      <c r="G799">
        <v>79.709999999999994</v>
      </c>
    </row>
    <row r="800" spans="1:16" x14ac:dyDescent="0.2">
      <c r="A800" t="s">
        <v>343</v>
      </c>
      <c r="B800" t="s">
        <v>338</v>
      </c>
      <c r="C800" t="s">
        <v>649</v>
      </c>
      <c r="D800" t="s">
        <v>345</v>
      </c>
      <c r="E800">
        <v>21768</v>
      </c>
      <c r="G800">
        <v>532.05999999999995</v>
      </c>
    </row>
    <row r="801" spans="1:7" x14ac:dyDescent="0.2">
      <c r="A801" t="s">
        <v>343</v>
      </c>
      <c r="B801" t="s">
        <v>338</v>
      </c>
      <c r="C801" t="s">
        <v>649</v>
      </c>
      <c r="D801" t="s">
        <v>341</v>
      </c>
      <c r="E801">
        <v>155</v>
      </c>
      <c r="G801">
        <v>733.52</v>
      </c>
    </row>
    <row r="802" spans="1:7" x14ac:dyDescent="0.2">
      <c r="A802" t="s">
        <v>343</v>
      </c>
      <c r="B802" t="s">
        <v>338</v>
      </c>
      <c r="C802" t="s">
        <v>649</v>
      </c>
      <c r="D802" t="s">
        <v>358</v>
      </c>
      <c r="E802">
        <v>25390</v>
      </c>
      <c r="G802">
        <v>353.85</v>
      </c>
    </row>
    <row r="803" spans="1:7" x14ac:dyDescent="0.2">
      <c r="A803" t="s">
        <v>343</v>
      </c>
      <c r="B803" t="s">
        <v>338</v>
      </c>
      <c r="C803" t="s">
        <v>649</v>
      </c>
      <c r="D803" t="s">
        <v>340</v>
      </c>
      <c r="E803">
        <v>37965</v>
      </c>
      <c r="G803">
        <v>254.82</v>
      </c>
    </row>
    <row r="804" spans="1:7" x14ac:dyDescent="0.2">
      <c r="A804" t="s">
        <v>343</v>
      </c>
      <c r="B804" t="s">
        <v>338</v>
      </c>
      <c r="C804" t="s">
        <v>649</v>
      </c>
      <c r="D804" t="s">
        <v>344</v>
      </c>
      <c r="E804">
        <v>13118</v>
      </c>
      <c r="G804">
        <v>127.6</v>
      </c>
    </row>
    <row r="805" spans="1:7" x14ac:dyDescent="0.2">
      <c r="A805" t="s">
        <v>343</v>
      </c>
      <c r="B805" t="s">
        <v>338</v>
      </c>
      <c r="C805" t="s">
        <v>649</v>
      </c>
      <c r="D805" t="s">
        <v>339</v>
      </c>
      <c r="E805">
        <v>15931</v>
      </c>
      <c r="G805">
        <v>387.13</v>
      </c>
    </row>
    <row r="806" spans="1:7" x14ac:dyDescent="0.2">
      <c r="A806" t="s">
        <v>343</v>
      </c>
      <c r="B806" t="s">
        <v>338</v>
      </c>
      <c r="C806" t="s">
        <v>649</v>
      </c>
      <c r="D806" t="s">
        <v>342</v>
      </c>
      <c r="E806">
        <v>15510</v>
      </c>
      <c r="G806">
        <v>120.21</v>
      </c>
    </row>
    <row r="807" spans="1:7" x14ac:dyDescent="0.2">
      <c r="A807" t="s">
        <v>343</v>
      </c>
      <c r="B807" t="s">
        <v>339</v>
      </c>
      <c r="C807" t="s">
        <v>384</v>
      </c>
      <c r="D807" t="s">
        <v>648</v>
      </c>
      <c r="E807">
        <v>37827</v>
      </c>
      <c r="G807">
        <v>255.28</v>
      </c>
    </row>
    <row r="808" spans="1:7" x14ac:dyDescent="0.2">
      <c r="A808" t="s">
        <v>343</v>
      </c>
      <c r="B808" t="s">
        <v>339</v>
      </c>
      <c r="C808" t="s">
        <v>109</v>
      </c>
      <c r="D808" t="s">
        <v>648</v>
      </c>
      <c r="E808">
        <v>3373</v>
      </c>
      <c r="G808">
        <v>448.78</v>
      </c>
    </row>
    <row r="809" spans="1:7" x14ac:dyDescent="0.2">
      <c r="A809" t="s">
        <v>343</v>
      </c>
      <c r="B809" t="s">
        <v>339</v>
      </c>
      <c r="C809" t="s">
        <v>110</v>
      </c>
      <c r="D809" t="s">
        <v>648</v>
      </c>
      <c r="E809">
        <v>1996</v>
      </c>
      <c r="G809">
        <v>399.33</v>
      </c>
    </row>
    <row r="810" spans="1:7" x14ac:dyDescent="0.2">
      <c r="A810" t="s">
        <v>343</v>
      </c>
      <c r="B810" t="s">
        <v>339</v>
      </c>
      <c r="C810" t="s">
        <v>111</v>
      </c>
      <c r="D810" t="s">
        <v>648</v>
      </c>
      <c r="E810">
        <v>4615</v>
      </c>
      <c r="G810">
        <v>324.42</v>
      </c>
    </row>
    <row r="811" spans="1:7" x14ac:dyDescent="0.2">
      <c r="A811" t="s">
        <v>343</v>
      </c>
      <c r="B811" t="s">
        <v>339</v>
      </c>
      <c r="C811" t="s">
        <v>112</v>
      </c>
      <c r="D811" t="s">
        <v>648</v>
      </c>
      <c r="E811">
        <v>3164</v>
      </c>
      <c r="G811">
        <v>328.13</v>
      </c>
    </row>
    <row r="812" spans="1:7" x14ac:dyDescent="0.2">
      <c r="A812" t="s">
        <v>343</v>
      </c>
      <c r="B812" t="s">
        <v>339</v>
      </c>
      <c r="C812" t="s">
        <v>113</v>
      </c>
      <c r="D812" t="s">
        <v>648</v>
      </c>
      <c r="E812">
        <v>1829</v>
      </c>
      <c r="G812">
        <v>318.98</v>
      </c>
    </row>
    <row r="813" spans="1:7" x14ac:dyDescent="0.2">
      <c r="A813" t="s">
        <v>343</v>
      </c>
      <c r="B813" t="s">
        <v>339</v>
      </c>
      <c r="C813" t="s">
        <v>114</v>
      </c>
      <c r="D813" t="s">
        <v>648</v>
      </c>
      <c r="E813">
        <v>3341</v>
      </c>
      <c r="G813">
        <v>386.64</v>
      </c>
    </row>
    <row r="814" spans="1:7" x14ac:dyDescent="0.2">
      <c r="A814" t="s">
        <v>343</v>
      </c>
      <c r="B814" t="s">
        <v>339</v>
      </c>
      <c r="C814" t="s">
        <v>86</v>
      </c>
      <c r="D814" t="s">
        <v>648</v>
      </c>
      <c r="E814">
        <v>6160</v>
      </c>
      <c r="G814">
        <v>480.21</v>
      </c>
    </row>
    <row r="815" spans="1:7" x14ac:dyDescent="0.2">
      <c r="A815" t="s">
        <v>343</v>
      </c>
      <c r="B815" t="s">
        <v>339</v>
      </c>
      <c r="C815" t="s">
        <v>115</v>
      </c>
      <c r="D815" t="s">
        <v>648</v>
      </c>
      <c r="E815">
        <v>4084</v>
      </c>
      <c r="G815">
        <v>659.35</v>
      </c>
    </row>
    <row r="816" spans="1:7" x14ac:dyDescent="0.2">
      <c r="A816" t="s">
        <v>343</v>
      </c>
      <c r="B816" t="s">
        <v>339</v>
      </c>
      <c r="C816" t="s">
        <v>116</v>
      </c>
      <c r="D816" t="s">
        <v>648</v>
      </c>
      <c r="E816">
        <v>3769</v>
      </c>
      <c r="G816">
        <v>508.98</v>
      </c>
    </row>
    <row r="817" spans="1:7" x14ac:dyDescent="0.2">
      <c r="A817" t="s">
        <v>343</v>
      </c>
      <c r="B817" t="s">
        <v>339</v>
      </c>
      <c r="C817" t="s">
        <v>89</v>
      </c>
      <c r="D817" t="s">
        <v>648</v>
      </c>
      <c r="E817">
        <v>9309</v>
      </c>
      <c r="G817">
        <v>394.22</v>
      </c>
    </row>
    <row r="818" spans="1:7" x14ac:dyDescent="0.2">
      <c r="A818" t="s">
        <v>343</v>
      </c>
      <c r="B818" t="s">
        <v>339</v>
      </c>
      <c r="C818" t="s">
        <v>117</v>
      </c>
      <c r="D818" t="s">
        <v>648</v>
      </c>
      <c r="E818">
        <v>4298</v>
      </c>
      <c r="G818">
        <v>371.23</v>
      </c>
    </row>
    <row r="819" spans="1:7" x14ac:dyDescent="0.2">
      <c r="A819" t="s">
        <v>343</v>
      </c>
      <c r="B819" t="s">
        <v>339</v>
      </c>
      <c r="C819" t="s">
        <v>118</v>
      </c>
      <c r="D819" t="s">
        <v>648</v>
      </c>
      <c r="E819">
        <v>2945</v>
      </c>
      <c r="G819">
        <v>250.1</v>
      </c>
    </row>
    <row r="820" spans="1:7" x14ac:dyDescent="0.2">
      <c r="A820" t="s">
        <v>343</v>
      </c>
      <c r="B820" t="s">
        <v>339</v>
      </c>
      <c r="C820" t="s">
        <v>119</v>
      </c>
      <c r="D820" t="s">
        <v>648</v>
      </c>
      <c r="E820">
        <v>826</v>
      </c>
      <c r="G820">
        <v>353.31</v>
      </c>
    </row>
    <row r="821" spans="1:7" x14ac:dyDescent="0.2">
      <c r="A821" t="s">
        <v>343</v>
      </c>
      <c r="B821" t="s">
        <v>339</v>
      </c>
      <c r="C821" t="s">
        <v>120</v>
      </c>
      <c r="D821" t="s">
        <v>648</v>
      </c>
      <c r="E821">
        <v>2311</v>
      </c>
      <c r="G821">
        <v>158.72999999999999</v>
      </c>
    </row>
    <row r="822" spans="1:7" x14ac:dyDescent="0.2">
      <c r="A822" t="s">
        <v>343</v>
      </c>
      <c r="B822" t="s">
        <v>339</v>
      </c>
      <c r="C822" t="s">
        <v>121</v>
      </c>
      <c r="D822" t="s">
        <v>648</v>
      </c>
      <c r="E822">
        <v>1716</v>
      </c>
      <c r="G822">
        <v>406.42</v>
      </c>
    </row>
    <row r="823" spans="1:7" x14ac:dyDescent="0.2">
      <c r="A823" t="s">
        <v>343</v>
      </c>
      <c r="B823" t="s">
        <v>339</v>
      </c>
      <c r="C823" t="s">
        <v>80</v>
      </c>
      <c r="D823" t="s">
        <v>648</v>
      </c>
      <c r="E823">
        <v>1725</v>
      </c>
      <c r="G823">
        <v>355.51</v>
      </c>
    </row>
    <row r="824" spans="1:7" x14ac:dyDescent="0.2">
      <c r="A824" t="s">
        <v>343</v>
      </c>
      <c r="B824" t="s">
        <v>339</v>
      </c>
      <c r="C824" t="s">
        <v>122</v>
      </c>
      <c r="D824" t="s">
        <v>648</v>
      </c>
      <c r="E824">
        <v>4963</v>
      </c>
      <c r="G824">
        <v>577.73</v>
      </c>
    </row>
    <row r="825" spans="1:7" x14ac:dyDescent="0.2">
      <c r="A825" t="s">
        <v>343</v>
      </c>
      <c r="B825" t="s">
        <v>339</v>
      </c>
      <c r="C825" t="s">
        <v>123</v>
      </c>
      <c r="D825" t="s">
        <v>648</v>
      </c>
      <c r="E825">
        <v>7483</v>
      </c>
      <c r="G825">
        <v>348.3</v>
      </c>
    </row>
    <row r="826" spans="1:7" x14ac:dyDescent="0.2">
      <c r="A826" t="s">
        <v>343</v>
      </c>
      <c r="B826" t="s">
        <v>339</v>
      </c>
      <c r="C826" t="s">
        <v>124</v>
      </c>
      <c r="D826" t="s">
        <v>648</v>
      </c>
      <c r="E826">
        <v>4859</v>
      </c>
      <c r="G826">
        <v>338.86</v>
      </c>
    </row>
    <row r="827" spans="1:7" x14ac:dyDescent="0.2">
      <c r="A827" t="s">
        <v>343</v>
      </c>
      <c r="B827" t="s">
        <v>339</v>
      </c>
      <c r="C827" t="s">
        <v>125</v>
      </c>
      <c r="D827" t="s">
        <v>648</v>
      </c>
      <c r="E827">
        <v>9507</v>
      </c>
      <c r="G827">
        <v>299.58999999999997</v>
      </c>
    </row>
    <row r="828" spans="1:7" x14ac:dyDescent="0.2">
      <c r="A828" t="s">
        <v>343</v>
      </c>
      <c r="B828" t="s">
        <v>339</v>
      </c>
      <c r="C828" t="s">
        <v>126</v>
      </c>
      <c r="D828" t="s">
        <v>648</v>
      </c>
      <c r="E828">
        <v>4962</v>
      </c>
      <c r="G828">
        <v>513.26</v>
      </c>
    </row>
    <row r="829" spans="1:7" x14ac:dyDescent="0.2">
      <c r="A829" t="s">
        <v>343</v>
      </c>
      <c r="B829" t="s">
        <v>339</v>
      </c>
      <c r="C829" t="s">
        <v>127</v>
      </c>
      <c r="D829" t="s">
        <v>648</v>
      </c>
      <c r="E829">
        <v>6653</v>
      </c>
      <c r="G829">
        <v>477.59</v>
      </c>
    </row>
    <row r="830" spans="1:7" x14ac:dyDescent="0.2">
      <c r="A830" t="s">
        <v>343</v>
      </c>
      <c r="B830" t="s">
        <v>339</v>
      </c>
      <c r="C830" t="s">
        <v>128</v>
      </c>
      <c r="D830" t="s">
        <v>648</v>
      </c>
      <c r="E830">
        <v>4869</v>
      </c>
      <c r="G830">
        <v>414.14</v>
      </c>
    </row>
    <row r="831" spans="1:7" x14ac:dyDescent="0.2">
      <c r="A831" t="s">
        <v>343</v>
      </c>
      <c r="B831" t="s">
        <v>339</v>
      </c>
      <c r="C831" t="s">
        <v>129</v>
      </c>
      <c r="D831" t="s">
        <v>648</v>
      </c>
      <c r="E831">
        <v>6221</v>
      </c>
      <c r="G831">
        <v>406.07</v>
      </c>
    </row>
    <row r="832" spans="1:7" x14ac:dyDescent="0.2">
      <c r="A832" t="s">
        <v>343</v>
      </c>
      <c r="B832" t="s">
        <v>339</v>
      </c>
      <c r="C832" t="s">
        <v>130</v>
      </c>
      <c r="D832" t="s">
        <v>648</v>
      </c>
      <c r="E832">
        <v>2871</v>
      </c>
      <c r="G832">
        <v>340.64</v>
      </c>
    </row>
    <row r="833" spans="1:7" x14ac:dyDescent="0.2">
      <c r="A833" t="s">
        <v>343</v>
      </c>
      <c r="B833" t="s">
        <v>339</v>
      </c>
      <c r="C833" t="s">
        <v>131</v>
      </c>
      <c r="D833" t="s">
        <v>648</v>
      </c>
      <c r="E833">
        <v>6770</v>
      </c>
      <c r="G833">
        <v>371.65</v>
      </c>
    </row>
    <row r="834" spans="1:7" x14ac:dyDescent="0.2">
      <c r="A834" t="s">
        <v>343</v>
      </c>
      <c r="B834" t="s">
        <v>339</v>
      </c>
      <c r="C834" t="s">
        <v>132</v>
      </c>
      <c r="D834" t="s">
        <v>648</v>
      </c>
      <c r="E834">
        <v>2884</v>
      </c>
      <c r="G834">
        <v>459.71</v>
      </c>
    </row>
    <row r="835" spans="1:7" x14ac:dyDescent="0.2">
      <c r="A835" t="s">
        <v>343</v>
      </c>
      <c r="B835" t="s">
        <v>339</v>
      </c>
      <c r="C835" t="s">
        <v>133</v>
      </c>
      <c r="D835" t="s">
        <v>648</v>
      </c>
      <c r="E835">
        <v>3779</v>
      </c>
      <c r="G835">
        <v>273.38</v>
      </c>
    </row>
    <row r="836" spans="1:7" x14ac:dyDescent="0.2">
      <c r="A836" t="s">
        <v>343</v>
      </c>
      <c r="B836" t="s">
        <v>339</v>
      </c>
      <c r="C836" t="s">
        <v>134</v>
      </c>
      <c r="D836" t="s">
        <v>648</v>
      </c>
      <c r="E836">
        <v>2095</v>
      </c>
      <c r="G836">
        <v>164.02</v>
      </c>
    </row>
    <row r="837" spans="1:7" x14ac:dyDescent="0.2">
      <c r="A837" t="s">
        <v>343</v>
      </c>
      <c r="B837" t="s">
        <v>339</v>
      </c>
      <c r="C837" t="s">
        <v>135</v>
      </c>
      <c r="D837" t="s">
        <v>648</v>
      </c>
      <c r="E837">
        <v>1344</v>
      </c>
      <c r="G837">
        <v>371.34</v>
      </c>
    </row>
    <row r="838" spans="1:7" x14ac:dyDescent="0.2">
      <c r="A838" t="s">
        <v>343</v>
      </c>
      <c r="B838" t="s">
        <v>339</v>
      </c>
      <c r="C838" t="s">
        <v>136</v>
      </c>
      <c r="D838" t="s">
        <v>648</v>
      </c>
      <c r="E838">
        <v>3117</v>
      </c>
      <c r="G838">
        <v>427.55</v>
      </c>
    </row>
    <row r="839" spans="1:7" x14ac:dyDescent="0.2">
      <c r="A839" t="s">
        <v>343</v>
      </c>
      <c r="B839" t="s">
        <v>339</v>
      </c>
      <c r="C839" t="s">
        <v>137</v>
      </c>
      <c r="D839" t="s">
        <v>648</v>
      </c>
      <c r="E839">
        <v>4085</v>
      </c>
      <c r="G839">
        <v>412.78</v>
      </c>
    </row>
    <row r="840" spans="1:7" x14ac:dyDescent="0.2">
      <c r="A840" t="s">
        <v>343</v>
      </c>
      <c r="B840" t="s">
        <v>339</v>
      </c>
      <c r="C840" t="s">
        <v>138</v>
      </c>
      <c r="D840" t="s">
        <v>648</v>
      </c>
      <c r="E840">
        <v>1070</v>
      </c>
      <c r="G840">
        <v>274.02999999999997</v>
      </c>
    </row>
    <row r="841" spans="1:7" x14ac:dyDescent="0.2">
      <c r="A841" t="s">
        <v>343</v>
      </c>
      <c r="B841" t="s">
        <v>339</v>
      </c>
      <c r="C841" t="s">
        <v>139</v>
      </c>
      <c r="D841" t="s">
        <v>648</v>
      </c>
      <c r="E841">
        <v>7271</v>
      </c>
      <c r="G841">
        <v>401.8</v>
      </c>
    </row>
    <row r="842" spans="1:7" x14ac:dyDescent="0.2">
      <c r="A842" t="s">
        <v>343</v>
      </c>
      <c r="B842" t="s">
        <v>339</v>
      </c>
      <c r="C842" t="s">
        <v>140</v>
      </c>
      <c r="D842" t="s">
        <v>648</v>
      </c>
      <c r="E842">
        <v>2009</v>
      </c>
      <c r="G842">
        <v>380.32</v>
      </c>
    </row>
    <row r="843" spans="1:7" x14ac:dyDescent="0.2">
      <c r="A843" t="s">
        <v>343</v>
      </c>
      <c r="B843" t="s">
        <v>339</v>
      </c>
      <c r="C843" t="s">
        <v>141</v>
      </c>
      <c r="D843" t="s">
        <v>648</v>
      </c>
      <c r="E843">
        <v>389</v>
      </c>
      <c r="G843">
        <v>378.44</v>
      </c>
    </row>
    <row r="844" spans="1:7" x14ac:dyDescent="0.2">
      <c r="A844" t="s">
        <v>343</v>
      </c>
      <c r="B844" t="s">
        <v>339</v>
      </c>
      <c r="C844" t="s">
        <v>142</v>
      </c>
      <c r="D844" t="s">
        <v>648</v>
      </c>
      <c r="E844">
        <v>1892</v>
      </c>
      <c r="G844">
        <v>366.83</v>
      </c>
    </row>
    <row r="845" spans="1:7" x14ac:dyDescent="0.2">
      <c r="A845" t="s">
        <v>343</v>
      </c>
      <c r="B845" t="s">
        <v>339</v>
      </c>
      <c r="C845" t="s">
        <v>143</v>
      </c>
      <c r="D845" t="s">
        <v>648</v>
      </c>
      <c r="E845">
        <v>6124</v>
      </c>
      <c r="G845">
        <v>420.07</v>
      </c>
    </row>
    <row r="846" spans="1:7" x14ac:dyDescent="0.2">
      <c r="A846" t="s">
        <v>343</v>
      </c>
      <c r="B846" t="s">
        <v>339</v>
      </c>
      <c r="C846" t="s">
        <v>144</v>
      </c>
      <c r="D846" t="s">
        <v>648</v>
      </c>
      <c r="E846">
        <v>4813</v>
      </c>
      <c r="G846">
        <v>411.51</v>
      </c>
    </row>
    <row r="847" spans="1:7" x14ac:dyDescent="0.2">
      <c r="A847" t="s">
        <v>343</v>
      </c>
      <c r="B847" t="s">
        <v>339</v>
      </c>
      <c r="C847" t="s">
        <v>145</v>
      </c>
      <c r="D847" t="s">
        <v>648</v>
      </c>
      <c r="E847">
        <v>3816</v>
      </c>
      <c r="G847">
        <v>405.8</v>
      </c>
    </row>
    <row r="848" spans="1:7" x14ac:dyDescent="0.2">
      <c r="A848" t="s">
        <v>343</v>
      </c>
      <c r="B848" t="s">
        <v>339</v>
      </c>
      <c r="C848" t="s">
        <v>146</v>
      </c>
      <c r="D848" t="s">
        <v>648</v>
      </c>
      <c r="E848">
        <v>6195</v>
      </c>
      <c r="G848">
        <v>282.41000000000003</v>
      </c>
    </row>
    <row r="849" spans="1:7" x14ac:dyDescent="0.2">
      <c r="A849" t="s">
        <v>343</v>
      </c>
      <c r="B849" t="s">
        <v>339</v>
      </c>
      <c r="C849" t="s">
        <v>147</v>
      </c>
      <c r="D849" t="s">
        <v>648</v>
      </c>
      <c r="E849">
        <v>2767</v>
      </c>
      <c r="G849">
        <v>313.52999999999997</v>
      </c>
    </row>
    <row r="850" spans="1:7" x14ac:dyDescent="0.2">
      <c r="A850" t="s">
        <v>343</v>
      </c>
      <c r="B850" t="s">
        <v>339</v>
      </c>
      <c r="C850" t="s">
        <v>148</v>
      </c>
      <c r="D850" t="s">
        <v>648</v>
      </c>
      <c r="E850">
        <v>4751</v>
      </c>
      <c r="G850">
        <v>368.79</v>
      </c>
    </row>
    <row r="851" spans="1:7" x14ac:dyDescent="0.2">
      <c r="A851" t="s">
        <v>343</v>
      </c>
      <c r="B851" t="s">
        <v>339</v>
      </c>
      <c r="C851" t="s">
        <v>149</v>
      </c>
      <c r="D851" t="s">
        <v>648</v>
      </c>
      <c r="E851">
        <v>2275</v>
      </c>
      <c r="G851">
        <v>423.61</v>
      </c>
    </row>
    <row r="852" spans="1:7" x14ac:dyDescent="0.2">
      <c r="A852" t="s">
        <v>343</v>
      </c>
      <c r="B852" t="s">
        <v>339</v>
      </c>
      <c r="C852" t="s">
        <v>150</v>
      </c>
      <c r="D852" t="s">
        <v>648</v>
      </c>
      <c r="E852">
        <v>15120</v>
      </c>
      <c r="G852">
        <v>426.35</v>
      </c>
    </row>
    <row r="853" spans="1:7" x14ac:dyDescent="0.2">
      <c r="A853" t="s">
        <v>343</v>
      </c>
      <c r="B853" t="s">
        <v>339</v>
      </c>
      <c r="C853" t="s">
        <v>360</v>
      </c>
      <c r="D853" t="s">
        <v>648</v>
      </c>
      <c r="E853">
        <v>2</v>
      </c>
      <c r="G853">
        <v>75.5</v>
      </c>
    </row>
    <row r="854" spans="1:7" x14ac:dyDescent="0.2">
      <c r="A854" t="s">
        <v>343</v>
      </c>
      <c r="B854" t="s">
        <v>339</v>
      </c>
      <c r="C854" t="s">
        <v>151</v>
      </c>
      <c r="D854" t="s">
        <v>648</v>
      </c>
      <c r="E854">
        <v>1127</v>
      </c>
      <c r="G854">
        <v>320.14</v>
      </c>
    </row>
    <row r="855" spans="1:7" x14ac:dyDescent="0.2">
      <c r="A855" t="s">
        <v>343</v>
      </c>
      <c r="B855" t="s">
        <v>339</v>
      </c>
      <c r="C855" t="s">
        <v>152</v>
      </c>
      <c r="D855" t="s">
        <v>648</v>
      </c>
      <c r="E855">
        <v>1646</v>
      </c>
      <c r="G855">
        <v>174.26</v>
      </c>
    </row>
    <row r="856" spans="1:7" x14ac:dyDescent="0.2">
      <c r="A856" t="s">
        <v>343</v>
      </c>
      <c r="B856" t="s">
        <v>339</v>
      </c>
      <c r="C856" t="s">
        <v>855</v>
      </c>
      <c r="D856" t="s">
        <v>648</v>
      </c>
      <c r="E856">
        <v>1102</v>
      </c>
      <c r="G856">
        <v>216.61</v>
      </c>
    </row>
    <row r="857" spans="1:7" x14ac:dyDescent="0.2">
      <c r="A857" t="s">
        <v>343</v>
      </c>
      <c r="B857" t="s">
        <v>339</v>
      </c>
      <c r="C857" t="s">
        <v>153</v>
      </c>
      <c r="D857" t="s">
        <v>648</v>
      </c>
      <c r="E857">
        <v>1272</v>
      </c>
      <c r="G857">
        <v>300.26</v>
      </c>
    </row>
    <row r="858" spans="1:7" x14ac:dyDescent="0.2">
      <c r="A858" t="s">
        <v>343</v>
      </c>
      <c r="B858" t="s">
        <v>339</v>
      </c>
      <c r="C858" t="s">
        <v>78</v>
      </c>
      <c r="D858" t="s">
        <v>648</v>
      </c>
      <c r="E858">
        <v>612</v>
      </c>
      <c r="G858">
        <v>381.09</v>
      </c>
    </row>
    <row r="859" spans="1:7" x14ac:dyDescent="0.2">
      <c r="A859" t="s">
        <v>343</v>
      </c>
      <c r="B859" t="s">
        <v>339</v>
      </c>
      <c r="C859" t="s">
        <v>154</v>
      </c>
      <c r="D859" t="s">
        <v>648</v>
      </c>
      <c r="E859">
        <v>1631</v>
      </c>
      <c r="G859">
        <v>240.99</v>
      </c>
    </row>
    <row r="860" spans="1:7" x14ac:dyDescent="0.2">
      <c r="A860" t="s">
        <v>343</v>
      </c>
      <c r="B860" t="s">
        <v>339</v>
      </c>
      <c r="C860" t="s">
        <v>155</v>
      </c>
      <c r="D860" t="s">
        <v>648</v>
      </c>
      <c r="E860">
        <v>706</v>
      </c>
      <c r="G860">
        <v>190.57</v>
      </c>
    </row>
    <row r="861" spans="1:7" x14ac:dyDescent="0.2">
      <c r="A861" t="s">
        <v>343</v>
      </c>
      <c r="B861" t="s">
        <v>339</v>
      </c>
      <c r="C861" t="s">
        <v>156</v>
      </c>
      <c r="D861" t="s">
        <v>648</v>
      </c>
      <c r="E861">
        <v>678</v>
      </c>
      <c r="G861">
        <v>174.21</v>
      </c>
    </row>
    <row r="862" spans="1:7" x14ac:dyDescent="0.2">
      <c r="A862" t="s">
        <v>343</v>
      </c>
      <c r="B862" t="s">
        <v>339</v>
      </c>
      <c r="C862" t="s">
        <v>361</v>
      </c>
      <c r="D862" t="s">
        <v>648</v>
      </c>
      <c r="E862">
        <v>851</v>
      </c>
      <c r="G862">
        <v>329.34</v>
      </c>
    </row>
    <row r="863" spans="1:7" x14ac:dyDescent="0.2">
      <c r="A863" t="s">
        <v>343</v>
      </c>
      <c r="B863" t="s">
        <v>339</v>
      </c>
      <c r="C863" t="s">
        <v>157</v>
      </c>
      <c r="D863" t="s">
        <v>648</v>
      </c>
      <c r="E863">
        <v>1941</v>
      </c>
      <c r="G863">
        <v>310.08</v>
      </c>
    </row>
    <row r="864" spans="1:7" x14ac:dyDescent="0.2">
      <c r="A864" t="s">
        <v>343</v>
      </c>
      <c r="B864" t="s">
        <v>339</v>
      </c>
      <c r="C864" t="s">
        <v>158</v>
      </c>
      <c r="D864" t="s">
        <v>648</v>
      </c>
      <c r="E864">
        <v>1309</v>
      </c>
      <c r="G864">
        <v>448.67</v>
      </c>
    </row>
    <row r="865" spans="1:10" x14ac:dyDescent="0.2">
      <c r="A865" t="s">
        <v>343</v>
      </c>
      <c r="B865" t="s">
        <v>339</v>
      </c>
      <c r="C865" t="s">
        <v>160</v>
      </c>
      <c r="D865" t="s">
        <v>648</v>
      </c>
      <c r="E865">
        <v>536</v>
      </c>
      <c r="G865">
        <v>196.78</v>
      </c>
    </row>
    <row r="866" spans="1:10" x14ac:dyDescent="0.2">
      <c r="A866" t="s">
        <v>343</v>
      </c>
      <c r="B866" t="s">
        <v>339</v>
      </c>
      <c r="C866" t="s">
        <v>649</v>
      </c>
      <c r="D866" t="s">
        <v>648</v>
      </c>
      <c r="E866">
        <v>241655</v>
      </c>
      <c r="G866">
        <v>365.36</v>
      </c>
    </row>
    <row r="867" spans="1:10" x14ac:dyDescent="0.2">
      <c r="A867" t="s">
        <v>343</v>
      </c>
      <c r="B867" t="s">
        <v>339</v>
      </c>
      <c r="C867" t="s">
        <v>384</v>
      </c>
      <c r="D867" t="s">
        <v>650</v>
      </c>
      <c r="E867">
        <v>138</v>
      </c>
      <c r="G867">
        <v>126.83</v>
      </c>
    </row>
    <row r="868" spans="1:10" x14ac:dyDescent="0.2">
      <c r="A868" t="s">
        <v>343</v>
      </c>
      <c r="B868" t="s">
        <v>339</v>
      </c>
      <c r="C868" t="s">
        <v>86</v>
      </c>
      <c r="D868" t="s">
        <v>650</v>
      </c>
      <c r="E868">
        <v>788</v>
      </c>
      <c r="G868">
        <v>198.92</v>
      </c>
    </row>
    <row r="869" spans="1:10" x14ac:dyDescent="0.2">
      <c r="A869" t="s">
        <v>343</v>
      </c>
      <c r="B869" t="s">
        <v>339</v>
      </c>
      <c r="C869" t="s">
        <v>130</v>
      </c>
      <c r="D869" t="s">
        <v>650</v>
      </c>
      <c r="E869">
        <v>853</v>
      </c>
      <c r="G869">
        <v>159.05000000000001</v>
      </c>
    </row>
    <row r="870" spans="1:10" x14ac:dyDescent="0.2">
      <c r="A870" t="s">
        <v>343</v>
      </c>
      <c r="B870" t="s">
        <v>339</v>
      </c>
      <c r="C870" t="s">
        <v>134</v>
      </c>
      <c r="D870" t="s">
        <v>650</v>
      </c>
      <c r="E870">
        <v>569</v>
      </c>
      <c r="G870">
        <v>195.09</v>
      </c>
    </row>
    <row r="871" spans="1:10" x14ac:dyDescent="0.2">
      <c r="A871" t="s">
        <v>343</v>
      </c>
      <c r="B871" t="s">
        <v>339</v>
      </c>
      <c r="C871" t="s">
        <v>649</v>
      </c>
      <c r="D871" t="s">
        <v>650</v>
      </c>
      <c r="E871">
        <v>2348</v>
      </c>
      <c r="G871">
        <v>179.27</v>
      </c>
    </row>
    <row r="872" spans="1:10" x14ac:dyDescent="0.2">
      <c r="A872" t="s">
        <v>343</v>
      </c>
      <c r="B872" t="s">
        <v>339</v>
      </c>
      <c r="C872" t="s">
        <v>359</v>
      </c>
      <c r="D872" t="s">
        <v>648</v>
      </c>
      <c r="E872">
        <v>38929</v>
      </c>
      <c r="G872">
        <v>254.19</v>
      </c>
    </row>
    <row r="873" spans="1:10" x14ac:dyDescent="0.2">
      <c r="A873" t="s">
        <v>343</v>
      </c>
      <c r="B873" t="s">
        <v>339</v>
      </c>
      <c r="C873" t="s">
        <v>386</v>
      </c>
      <c r="D873" t="s">
        <v>648</v>
      </c>
      <c r="E873">
        <v>42037</v>
      </c>
      <c r="G873">
        <v>354.59</v>
      </c>
    </row>
    <row r="874" spans="1:10" x14ac:dyDescent="0.2">
      <c r="A874" t="s">
        <v>343</v>
      </c>
      <c r="B874" t="s">
        <v>339</v>
      </c>
      <c r="C874" t="s">
        <v>385</v>
      </c>
      <c r="D874" t="s">
        <v>648</v>
      </c>
      <c r="E874">
        <v>55655</v>
      </c>
      <c r="G874">
        <v>387.55</v>
      </c>
    </row>
    <row r="875" spans="1:10" x14ac:dyDescent="0.2">
      <c r="A875" t="s">
        <v>343</v>
      </c>
      <c r="B875" t="s">
        <v>339</v>
      </c>
      <c r="C875" t="s">
        <v>387</v>
      </c>
      <c r="D875" t="s">
        <v>648</v>
      </c>
      <c r="E875">
        <v>70544</v>
      </c>
      <c r="G875">
        <v>406.81</v>
      </c>
    </row>
    <row r="876" spans="1:10" x14ac:dyDescent="0.2">
      <c r="A876" t="s">
        <v>343</v>
      </c>
      <c r="B876" t="s">
        <v>339</v>
      </c>
      <c r="C876" t="s">
        <v>388</v>
      </c>
      <c r="D876" t="s">
        <v>648</v>
      </c>
      <c r="E876">
        <v>34490</v>
      </c>
      <c r="G876">
        <v>383.36</v>
      </c>
    </row>
    <row r="877" spans="1:10" x14ac:dyDescent="0.2">
      <c r="A877" t="s">
        <v>842</v>
      </c>
      <c r="B877" t="s">
        <v>338</v>
      </c>
      <c r="C877" t="s">
        <v>384</v>
      </c>
      <c r="D877" t="s">
        <v>384</v>
      </c>
      <c r="E877">
        <v>18402</v>
      </c>
    </row>
    <row r="878" spans="1:10" x14ac:dyDescent="0.2">
      <c r="A878" t="s">
        <v>344</v>
      </c>
      <c r="B878" t="s">
        <v>346</v>
      </c>
      <c r="C878" t="s">
        <v>109</v>
      </c>
      <c r="D878" t="s">
        <v>886</v>
      </c>
      <c r="E878">
        <v>0.95055999999999996</v>
      </c>
      <c r="F878">
        <v>0.85263</v>
      </c>
      <c r="G878">
        <v>0.84543000000000001</v>
      </c>
      <c r="H878">
        <v>4.156E-2</v>
      </c>
      <c r="I878">
        <v>0.85616999999999999</v>
      </c>
      <c r="J878">
        <v>5.287E-2</v>
      </c>
    </row>
    <row r="879" spans="1:10" x14ac:dyDescent="0.2">
      <c r="A879" t="s">
        <v>344</v>
      </c>
      <c r="B879" t="s">
        <v>346</v>
      </c>
      <c r="C879" t="s">
        <v>86</v>
      </c>
      <c r="D879" t="s">
        <v>886</v>
      </c>
      <c r="E879">
        <v>0.95416000000000001</v>
      </c>
      <c r="F879">
        <v>0.87897999999999998</v>
      </c>
      <c r="G879">
        <v>0.90788999999999997</v>
      </c>
      <c r="H879">
        <v>4.2860000000000002E-2</v>
      </c>
      <c r="I879">
        <v>0.89839000000000002</v>
      </c>
      <c r="J879">
        <v>3.9410000000000001E-2</v>
      </c>
    </row>
    <row r="880" spans="1:10" x14ac:dyDescent="0.2">
      <c r="A880" t="s">
        <v>344</v>
      </c>
      <c r="B880" t="s">
        <v>346</v>
      </c>
      <c r="C880" t="s">
        <v>115</v>
      </c>
      <c r="D880" t="s">
        <v>886</v>
      </c>
      <c r="E880">
        <v>0.96057000000000003</v>
      </c>
      <c r="F880">
        <v>0.93232999999999999</v>
      </c>
      <c r="G880">
        <v>0.88426000000000005</v>
      </c>
      <c r="H880">
        <v>4.3889999999999998E-2</v>
      </c>
      <c r="I880">
        <v>0.91669999999999996</v>
      </c>
      <c r="J880">
        <v>3.7400000000000003E-2</v>
      </c>
    </row>
    <row r="881" spans="1:10" x14ac:dyDescent="0.2">
      <c r="A881" t="s">
        <v>344</v>
      </c>
      <c r="B881" t="s">
        <v>346</v>
      </c>
      <c r="C881" t="s">
        <v>117</v>
      </c>
      <c r="D881" t="s">
        <v>886</v>
      </c>
      <c r="E881">
        <v>0.96870999999999996</v>
      </c>
      <c r="F881">
        <v>0.91764000000000001</v>
      </c>
      <c r="G881">
        <v>0.91439000000000004</v>
      </c>
      <c r="H881">
        <v>4.0480000000000002E-2</v>
      </c>
      <c r="I881">
        <v>0.91447000000000001</v>
      </c>
      <c r="J881">
        <v>3.9660000000000001E-2</v>
      </c>
    </row>
    <row r="882" spans="1:10" x14ac:dyDescent="0.2">
      <c r="A882" t="s">
        <v>344</v>
      </c>
      <c r="B882" t="s">
        <v>346</v>
      </c>
      <c r="C882" t="s">
        <v>121</v>
      </c>
      <c r="D882" t="s">
        <v>886</v>
      </c>
      <c r="E882">
        <v>0.91835</v>
      </c>
      <c r="F882">
        <v>0.82218999999999998</v>
      </c>
      <c r="G882">
        <v>0.88405999999999996</v>
      </c>
      <c r="H882">
        <v>4.999E-2</v>
      </c>
      <c r="I882">
        <v>0.94296999999999997</v>
      </c>
      <c r="J882">
        <v>3.3520000000000001E-2</v>
      </c>
    </row>
    <row r="883" spans="1:10" x14ac:dyDescent="0.2">
      <c r="A883" t="s">
        <v>344</v>
      </c>
      <c r="B883" t="s">
        <v>346</v>
      </c>
      <c r="C883" t="s">
        <v>133</v>
      </c>
      <c r="D883" t="s">
        <v>886</v>
      </c>
      <c r="E883">
        <v>0.95867000000000002</v>
      </c>
      <c r="F883">
        <v>0.90920000000000001</v>
      </c>
      <c r="G883">
        <v>0.88193999999999995</v>
      </c>
      <c r="H883">
        <v>5.2670000000000002E-2</v>
      </c>
      <c r="I883">
        <v>0.96989999999999998</v>
      </c>
      <c r="J883">
        <v>2.818E-2</v>
      </c>
    </row>
    <row r="884" spans="1:10" x14ac:dyDescent="0.2">
      <c r="A884" t="s">
        <v>344</v>
      </c>
      <c r="B884" t="s">
        <v>346</v>
      </c>
      <c r="C884" t="s">
        <v>360</v>
      </c>
      <c r="D884" t="s">
        <v>886</v>
      </c>
      <c r="I884">
        <v>0.86234999999999995</v>
      </c>
      <c r="J884">
        <v>3.737E-2</v>
      </c>
    </row>
    <row r="885" spans="1:10" x14ac:dyDescent="0.2">
      <c r="A885" t="s">
        <v>344</v>
      </c>
      <c r="B885" t="s">
        <v>346</v>
      </c>
      <c r="C885" t="s">
        <v>153</v>
      </c>
      <c r="D885" t="s">
        <v>886</v>
      </c>
      <c r="E885">
        <v>0.94969999999999999</v>
      </c>
      <c r="F885">
        <v>0.89385000000000003</v>
      </c>
      <c r="G885">
        <v>0.90273999999999999</v>
      </c>
      <c r="H885">
        <v>4.1599999999999998E-2</v>
      </c>
      <c r="I885">
        <v>0.91852</v>
      </c>
      <c r="J885">
        <v>4.1980000000000003E-2</v>
      </c>
    </row>
    <row r="886" spans="1:10" x14ac:dyDescent="0.2">
      <c r="A886" t="s">
        <v>344</v>
      </c>
      <c r="B886" t="s">
        <v>346</v>
      </c>
      <c r="C886" t="s">
        <v>386</v>
      </c>
      <c r="D886" t="s">
        <v>886</v>
      </c>
      <c r="E886">
        <v>0.96538999999999997</v>
      </c>
      <c r="F886">
        <v>0.89229000000000003</v>
      </c>
      <c r="G886">
        <v>0.88436999999999999</v>
      </c>
      <c r="H886">
        <v>1.847E-2</v>
      </c>
      <c r="I886">
        <v>0.92878000000000005</v>
      </c>
      <c r="J886">
        <v>1.5469999999999999E-2</v>
      </c>
    </row>
    <row r="887" spans="1:10" x14ac:dyDescent="0.2">
      <c r="A887" t="s">
        <v>344</v>
      </c>
      <c r="B887" t="s">
        <v>346</v>
      </c>
      <c r="C887" t="s">
        <v>110</v>
      </c>
      <c r="D887" t="s">
        <v>886</v>
      </c>
      <c r="E887">
        <v>0.94976000000000005</v>
      </c>
      <c r="F887">
        <v>0.91862999999999995</v>
      </c>
      <c r="G887">
        <v>0.87416000000000005</v>
      </c>
      <c r="H887">
        <v>4.156E-2</v>
      </c>
      <c r="I887">
        <v>0.84945000000000004</v>
      </c>
      <c r="J887">
        <v>5.5969999999999999E-2</v>
      </c>
    </row>
    <row r="888" spans="1:10" x14ac:dyDescent="0.2">
      <c r="A888" t="s">
        <v>344</v>
      </c>
      <c r="B888" t="s">
        <v>346</v>
      </c>
      <c r="C888" t="s">
        <v>126</v>
      </c>
      <c r="D888" t="s">
        <v>886</v>
      </c>
      <c r="E888">
        <v>0.94449000000000005</v>
      </c>
      <c r="F888">
        <v>0.86543000000000003</v>
      </c>
      <c r="G888">
        <v>0.83748</v>
      </c>
      <c r="H888">
        <v>4.8579999999999998E-2</v>
      </c>
      <c r="I888">
        <v>0.90163000000000004</v>
      </c>
      <c r="J888">
        <v>4.922E-2</v>
      </c>
    </row>
    <row r="889" spans="1:10" x14ac:dyDescent="0.2">
      <c r="A889" t="s">
        <v>344</v>
      </c>
      <c r="B889" t="s">
        <v>346</v>
      </c>
      <c r="C889" t="s">
        <v>135</v>
      </c>
      <c r="D889" t="s">
        <v>886</v>
      </c>
      <c r="E889">
        <v>0.95747000000000004</v>
      </c>
      <c r="F889">
        <v>0.84489000000000003</v>
      </c>
      <c r="G889">
        <v>0.84962000000000004</v>
      </c>
      <c r="H889">
        <v>5.2249999999999998E-2</v>
      </c>
      <c r="I889">
        <v>0.87975000000000003</v>
      </c>
      <c r="J889">
        <v>4.6300000000000001E-2</v>
      </c>
    </row>
    <row r="890" spans="1:10" x14ac:dyDescent="0.2">
      <c r="A890" t="s">
        <v>344</v>
      </c>
      <c r="B890" t="s">
        <v>346</v>
      </c>
      <c r="C890" t="s">
        <v>138</v>
      </c>
      <c r="D890" t="s">
        <v>886</v>
      </c>
      <c r="E890">
        <v>0.94698000000000004</v>
      </c>
      <c r="F890">
        <v>0.87855000000000005</v>
      </c>
      <c r="G890">
        <v>0.88522000000000001</v>
      </c>
      <c r="H890">
        <v>4.2070000000000003E-2</v>
      </c>
      <c r="I890">
        <v>0.95530999999999999</v>
      </c>
      <c r="J890">
        <v>2.5919999999999999E-2</v>
      </c>
    </row>
    <row r="891" spans="1:10" x14ac:dyDescent="0.2">
      <c r="A891" t="s">
        <v>344</v>
      </c>
      <c r="B891" t="s">
        <v>346</v>
      </c>
      <c r="C891" t="s">
        <v>146</v>
      </c>
      <c r="D891" t="s">
        <v>886</v>
      </c>
      <c r="E891">
        <v>0.93864000000000003</v>
      </c>
      <c r="F891">
        <v>0.85834999999999995</v>
      </c>
      <c r="G891">
        <v>0.86063000000000001</v>
      </c>
      <c r="H891">
        <v>5.0220000000000001E-2</v>
      </c>
      <c r="I891">
        <v>0.92879</v>
      </c>
      <c r="J891">
        <v>3.7069999999999999E-2</v>
      </c>
    </row>
    <row r="892" spans="1:10" x14ac:dyDescent="0.2">
      <c r="A892" t="s">
        <v>344</v>
      </c>
      <c r="B892" t="s">
        <v>346</v>
      </c>
      <c r="C892" t="s">
        <v>152</v>
      </c>
      <c r="D892" t="s">
        <v>886</v>
      </c>
      <c r="E892">
        <v>0.95225000000000004</v>
      </c>
      <c r="F892">
        <v>0.85824</v>
      </c>
      <c r="G892">
        <v>0.85543999999999998</v>
      </c>
      <c r="H892">
        <v>4.5179999999999998E-2</v>
      </c>
      <c r="I892">
        <v>0.90205999999999997</v>
      </c>
      <c r="J892">
        <v>5.5579999999999997E-2</v>
      </c>
    </row>
    <row r="893" spans="1:10" x14ac:dyDescent="0.2">
      <c r="A893" t="s">
        <v>344</v>
      </c>
      <c r="B893" t="s">
        <v>346</v>
      </c>
      <c r="C893" t="s">
        <v>114</v>
      </c>
      <c r="D893" t="s">
        <v>886</v>
      </c>
      <c r="E893">
        <v>0.92608000000000001</v>
      </c>
      <c r="F893">
        <v>0.84423999999999999</v>
      </c>
      <c r="G893">
        <v>0.87324999999999997</v>
      </c>
      <c r="H893">
        <v>4.7940000000000003E-2</v>
      </c>
      <c r="I893">
        <v>0.92342999999999997</v>
      </c>
      <c r="J893">
        <v>3.2899999999999999E-2</v>
      </c>
    </row>
    <row r="894" spans="1:10" x14ac:dyDescent="0.2">
      <c r="A894" t="s">
        <v>344</v>
      </c>
      <c r="B894" t="s">
        <v>346</v>
      </c>
      <c r="C894" t="s">
        <v>130</v>
      </c>
      <c r="D894" t="s">
        <v>886</v>
      </c>
      <c r="E894">
        <v>0.98575999999999997</v>
      </c>
      <c r="F894">
        <v>0.96621999999999997</v>
      </c>
      <c r="G894">
        <v>0.93854000000000004</v>
      </c>
      <c r="H894">
        <v>4.0410000000000001E-2</v>
      </c>
      <c r="I894">
        <v>0.93506</v>
      </c>
      <c r="J894">
        <v>3.517E-2</v>
      </c>
    </row>
    <row r="895" spans="1:10" x14ac:dyDescent="0.2">
      <c r="A895" t="s">
        <v>344</v>
      </c>
      <c r="B895" t="s">
        <v>346</v>
      </c>
      <c r="C895" t="s">
        <v>148</v>
      </c>
      <c r="D895" t="s">
        <v>886</v>
      </c>
      <c r="E895">
        <v>0.95753999999999995</v>
      </c>
      <c r="F895">
        <v>0.90146000000000004</v>
      </c>
      <c r="G895">
        <v>0.84343999999999997</v>
      </c>
      <c r="H895">
        <v>4.8309999999999999E-2</v>
      </c>
      <c r="I895">
        <v>0.92866000000000004</v>
      </c>
      <c r="J895">
        <v>3.5279999999999999E-2</v>
      </c>
    </row>
    <row r="896" spans="1:10" x14ac:dyDescent="0.2">
      <c r="A896" t="s">
        <v>344</v>
      </c>
      <c r="B896" t="s">
        <v>346</v>
      </c>
      <c r="C896" t="s">
        <v>158</v>
      </c>
      <c r="D896" t="s">
        <v>886</v>
      </c>
      <c r="E896">
        <v>0.98307999999999995</v>
      </c>
      <c r="F896">
        <v>0.91922000000000004</v>
      </c>
      <c r="G896">
        <v>0.88397000000000003</v>
      </c>
      <c r="H896">
        <v>4.7079999999999997E-2</v>
      </c>
      <c r="I896">
        <v>0.96665999999999996</v>
      </c>
      <c r="J896">
        <v>2.664E-2</v>
      </c>
    </row>
    <row r="897" spans="1:10" x14ac:dyDescent="0.2">
      <c r="A897" t="s">
        <v>344</v>
      </c>
      <c r="B897" t="s">
        <v>346</v>
      </c>
      <c r="C897" t="s">
        <v>159</v>
      </c>
      <c r="D897" t="s">
        <v>886</v>
      </c>
      <c r="E897">
        <v>0.90839999999999999</v>
      </c>
      <c r="F897">
        <v>0.82938999999999996</v>
      </c>
      <c r="G897">
        <v>0.85921999999999998</v>
      </c>
      <c r="H897">
        <v>4.6670000000000003E-2</v>
      </c>
      <c r="I897">
        <v>0.95130999999999999</v>
      </c>
      <c r="J897">
        <v>2.477E-2</v>
      </c>
    </row>
    <row r="898" spans="1:10" x14ac:dyDescent="0.2">
      <c r="A898" t="s">
        <v>344</v>
      </c>
      <c r="B898" t="s">
        <v>346</v>
      </c>
      <c r="C898" t="s">
        <v>123</v>
      </c>
      <c r="D898" t="s">
        <v>886</v>
      </c>
      <c r="E898">
        <v>0.96994999999999998</v>
      </c>
      <c r="F898">
        <v>0.93435999999999997</v>
      </c>
      <c r="G898">
        <v>0.91108999999999996</v>
      </c>
      <c r="H898">
        <v>3.7019999999999997E-2</v>
      </c>
      <c r="I898">
        <v>0.96948999999999996</v>
      </c>
      <c r="J898">
        <v>3.039E-2</v>
      </c>
    </row>
    <row r="899" spans="1:10" x14ac:dyDescent="0.2">
      <c r="A899" t="s">
        <v>344</v>
      </c>
      <c r="B899" t="s">
        <v>346</v>
      </c>
      <c r="C899" t="s">
        <v>129</v>
      </c>
      <c r="D899" t="s">
        <v>886</v>
      </c>
      <c r="E899">
        <v>0.93622000000000005</v>
      </c>
      <c r="F899">
        <v>0.81562000000000001</v>
      </c>
      <c r="G899">
        <v>0.87065999999999999</v>
      </c>
      <c r="H899">
        <v>4.8079999999999998E-2</v>
      </c>
      <c r="I899">
        <v>0.89822000000000002</v>
      </c>
      <c r="J899">
        <v>4.53E-2</v>
      </c>
    </row>
    <row r="900" spans="1:10" x14ac:dyDescent="0.2">
      <c r="A900" t="s">
        <v>344</v>
      </c>
      <c r="B900" t="s">
        <v>346</v>
      </c>
      <c r="C900" t="s">
        <v>143</v>
      </c>
      <c r="D900" t="s">
        <v>886</v>
      </c>
      <c r="E900">
        <v>0.97921000000000002</v>
      </c>
      <c r="F900">
        <v>0.96253999999999995</v>
      </c>
      <c r="G900">
        <v>0.88080999999999998</v>
      </c>
      <c r="H900">
        <v>4.4990000000000002E-2</v>
      </c>
      <c r="I900">
        <v>0.96067000000000002</v>
      </c>
      <c r="J900">
        <v>3.2390000000000002E-2</v>
      </c>
    </row>
    <row r="901" spans="1:10" x14ac:dyDescent="0.2">
      <c r="A901" t="s">
        <v>344</v>
      </c>
      <c r="B901" t="s">
        <v>346</v>
      </c>
      <c r="C901" t="s">
        <v>78</v>
      </c>
      <c r="D901" t="s">
        <v>886</v>
      </c>
      <c r="E901">
        <v>0.96379999999999999</v>
      </c>
      <c r="F901">
        <v>0.87375999999999998</v>
      </c>
      <c r="G901">
        <v>0.89378000000000002</v>
      </c>
      <c r="H901">
        <v>4.2070000000000003E-2</v>
      </c>
      <c r="I901">
        <v>0.88200000000000001</v>
      </c>
      <c r="J901">
        <v>3.9719999999999998E-2</v>
      </c>
    </row>
    <row r="902" spans="1:10" x14ac:dyDescent="0.2">
      <c r="A902" t="s">
        <v>344</v>
      </c>
      <c r="B902" t="s">
        <v>346</v>
      </c>
      <c r="C902" t="s">
        <v>155</v>
      </c>
      <c r="D902" t="s">
        <v>886</v>
      </c>
      <c r="E902">
        <v>0.96053999999999995</v>
      </c>
      <c r="F902">
        <v>0.86441000000000001</v>
      </c>
      <c r="G902">
        <v>0.91034000000000004</v>
      </c>
      <c r="H902">
        <v>3.9820000000000001E-2</v>
      </c>
      <c r="I902">
        <v>0.90325999999999995</v>
      </c>
      <c r="J902">
        <v>4.8349999999999997E-2</v>
      </c>
    </row>
    <row r="903" spans="1:10" x14ac:dyDescent="0.2">
      <c r="A903" t="s">
        <v>344</v>
      </c>
      <c r="B903" t="s">
        <v>346</v>
      </c>
      <c r="C903" t="s">
        <v>361</v>
      </c>
      <c r="D903" t="s">
        <v>886</v>
      </c>
      <c r="E903">
        <v>0.94755</v>
      </c>
      <c r="F903">
        <v>0.85748999999999997</v>
      </c>
      <c r="G903">
        <v>0.89244000000000001</v>
      </c>
      <c r="H903">
        <v>4.5629999999999997E-2</v>
      </c>
      <c r="I903">
        <v>0.89790999999999999</v>
      </c>
      <c r="J903">
        <v>2.7109999999999999E-2</v>
      </c>
    </row>
    <row r="904" spans="1:10" x14ac:dyDescent="0.2">
      <c r="A904" t="s">
        <v>344</v>
      </c>
      <c r="B904" t="s">
        <v>346</v>
      </c>
      <c r="C904" t="s">
        <v>338</v>
      </c>
      <c r="D904" t="s">
        <v>886</v>
      </c>
      <c r="E904">
        <v>0.95169000000000004</v>
      </c>
      <c r="F904">
        <v>0.87463000000000002</v>
      </c>
      <c r="G904">
        <v>0.87882000000000005</v>
      </c>
      <c r="H904">
        <v>7.8300000000000002E-3</v>
      </c>
      <c r="I904">
        <v>0.90293999999999996</v>
      </c>
      <c r="J904">
        <v>1.069E-2</v>
      </c>
    </row>
    <row r="905" spans="1:10" x14ac:dyDescent="0.2">
      <c r="A905" t="s">
        <v>344</v>
      </c>
      <c r="B905" t="s">
        <v>346</v>
      </c>
      <c r="C905" t="s">
        <v>111</v>
      </c>
      <c r="D905" t="s">
        <v>886</v>
      </c>
      <c r="E905">
        <v>0.96016000000000001</v>
      </c>
      <c r="F905">
        <v>0.89900999999999998</v>
      </c>
      <c r="G905">
        <v>0.89043000000000005</v>
      </c>
      <c r="H905">
        <v>4.1579999999999999E-2</v>
      </c>
      <c r="I905">
        <v>0.91466999999999998</v>
      </c>
      <c r="J905">
        <v>4.0430000000000001E-2</v>
      </c>
    </row>
    <row r="906" spans="1:10" x14ac:dyDescent="0.2">
      <c r="A906" t="s">
        <v>344</v>
      </c>
      <c r="B906" t="s">
        <v>346</v>
      </c>
      <c r="C906" t="s">
        <v>112</v>
      </c>
      <c r="D906" t="s">
        <v>886</v>
      </c>
      <c r="E906">
        <v>0.97392999999999996</v>
      </c>
      <c r="F906">
        <v>0.91378000000000004</v>
      </c>
      <c r="G906">
        <v>0.91086</v>
      </c>
      <c r="H906">
        <v>3.993E-2</v>
      </c>
      <c r="I906">
        <v>0.88553000000000004</v>
      </c>
      <c r="J906">
        <v>4.4450000000000003E-2</v>
      </c>
    </row>
    <row r="907" spans="1:10" x14ac:dyDescent="0.2">
      <c r="A907" t="s">
        <v>344</v>
      </c>
      <c r="B907" t="s">
        <v>346</v>
      </c>
      <c r="C907" t="s">
        <v>113</v>
      </c>
      <c r="D907" t="s">
        <v>886</v>
      </c>
      <c r="E907">
        <v>0.97877000000000003</v>
      </c>
      <c r="F907">
        <v>0.90390999999999999</v>
      </c>
      <c r="G907">
        <v>0.90527000000000002</v>
      </c>
      <c r="H907">
        <v>4.6859999999999999E-2</v>
      </c>
      <c r="I907">
        <v>0.92861000000000005</v>
      </c>
      <c r="J907">
        <v>3.7780000000000001E-2</v>
      </c>
    </row>
    <row r="908" spans="1:10" x14ac:dyDescent="0.2">
      <c r="A908" t="s">
        <v>344</v>
      </c>
      <c r="B908" t="s">
        <v>346</v>
      </c>
      <c r="C908" t="s">
        <v>89</v>
      </c>
      <c r="D908" t="s">
        <v>886</v>
      </c>
      <c r="E908">
        <v>0.98023000000000005</v>
      </c>
      <c r="F908">
        <v>0.90813999999999995</v>
      </c>
      <c r="G908">
        <v>0.91496</v>
      </c>
      <c r="H908">
        <v>3.8300000000000001E-2</v>
      </c>
      <c r="I908">
        <v>0.93339000000000005</v>
      </c>
      <c r="J908">
        <v>3.5000000000000003E-2</v>
      </c>
    </row>
    <row r="909" spans="1:10" x14ac:dyDescent="0.2">
      <c r="A909" t="s">
        <v>344</v>
      </c>
      <c r="B909" t="s">
        <v>346</v>
      </c>
      <c r="C909" t="s">
        <v>120</v>
      </c>
      <c r="D909" t="s">
        <v>886</v>
      </c>
      <c r="E909">
        <v>0.89798</v>
      </c>
      <c r="F909">
        <v>0.86695999999999995</v>
      </c>
      <c r="G909">
        <v>0.87641999999999998</v>
      </c>
      <c r="H909">
        <v>4.2869999999999998E-2</v>
      </c>
      <c r="I909">
        <v>0.86783999999999994</v>
      </c>
      <c r="J909">
        <v>5.6570000000000002E-2</v>
      </c>
    </row>
    <row r="910" spans="1:10" x14ac:dyDescent="0.2">
      <c r="A910" t="s">
        <v>344</v>
      </c>
      <c r="B910" t="s">
        <v>346</v>
      </c>
      <c r="C910" t="s">
        <v>124</v>
      </c>
      <c r="D910" t="s">
        <v>886</v>
      </c>
      <c r="E910">
        <v>0.96577000000000002</v>
      </c>
      <c r="F910">
        <v>0.87370999999999999</v>
      </c>
      <c r="G910">
        <v>0.87426999999999999</v>
      </c>
      <c r="H910">
        <v>4.4920000000000002E-2</v>
      </c>
      <c r="I910">
        <v>0.88151000000000002</v>
      </c>
      <c r="J910">
        <v>3.8830000000000003E-2</v>
      </c>
    </row>
    <row r="911" spans="1:10" x14ac:dyDescent="0.2">
      <c r="A911" t="s">
        <v>344</v>
      </c>
      <c r="B911" t="s">
        <v>346</v>
      </c>
      <c r="C911" t="s">
        <v>132</v>
      </c>
      <c r="D911" t="s">
        <v>886</v>
      </c>
      <c r="E911">
        <v>0.97082999999999997</v>
      </c>
      <c r="F911">
        <v>0.90459000000000001</v>
      </c>
      <c r="G911">
        <v>0.89778000000000002</v>
      </c>
      <c r="H911">
        <v>4.6210000000000001E-2</v>
      </c>
      <c r="I911">
        <v>0.89810999999999996</v>
      </c>
      <c r="J911">
        <v>5.4210000000000001E-2</v>
      </c>
    </row>
    <row r="912" spans="1:10" x14ac:dyDescent="0.2">
      <c r="A912" t="s">
        <v>344</v>
      </c>
      <c r="B912" t="s">
        <v>346</v>
      </c>
      <c r="C912" t="s">
        <v>137</v>
      </c>
      <c r="D912" t="s">
        <v>886</v>
      </c>
      <c r="E912">
        <v>0.92395000000000005</v>
      </c>
      <c r="F912">
        <v>0.83123000000000002</v>
      </c>
      <c r="G912">
        <v>0.88293999999999995</v>
      </c>
      <c r="H912">
        <v>4.7559999999999998E-2</v>
      </c>
      <c r="I912">
        <v>0.88880999999999999</v>
      </c>
      <c r="J912">
        <v>5.0840000000000003E-2</v>
      </c>
    </row>
    <row r="913" spans="1:10" x14ac:dyDescent="0.2">
      <c r="A913" t="s">
        <v>344</v>
      </c>
      <c r="B913" t="s">
        <v>346</v>
      </c>
      <c r="C913" t="s">
        <v>145</v>
      </c>
      <c r="D913" t="s">
        <v>886</v>
      </c>
      <c r="E913">
        <v>0.90034000000000003</v>
      </c>
      <c r="F913">
        <v>0.71901000000000004</v>
      </c>
      <c r="G913">
        <v>0.84392999999999996</v>
      </c>
      <c r="H913">
        <v>5.0360000000000002E-2</v>
      </c>
      <c r="I913">
        <v>0.93401000000000001</v>
      </c>
      <c r="J913">
        <v>4.3049999999999998E-2</v>
      </c>
    </row>
    <row r="914" spans="1:10" x14ac:dyDescent="0.2">
      <c r="A914" t="s">
        <v>344</v>
      </c>
      <c r="B914" t="s">
        <v>346</v>
      </c>
      <c r="C914" t="s">
        <v>154</v>
      </c>
      <c r="D914" t="s">
        <v>886</v>
      </c>
      <c r="E914">
        <v>0.94642999999999999</v>
      </c>
      <c r="F914">
        <v>0.87863000000000002</v>
      </c>
      <c r="G914">
        <v>0.91471999999999998</v>
      </c>
      <c r="H914">
        <v>4.3499999999999997E-2</v>
      </c>
      <c r="I914">
        <v>0.90798000000000001</v>
      </c>
      <c r="J914">
        <v>4.9059999999999999E-2</v>
      </c>
    </row>
    <row r="915" spans="1:10" x14ac:dyDescent="0.2">
      <c r="A915" t="s">
        <v>344</v>
      </c>
      <c r="B915" t="s">
        <v>346</v>
      </c>
      <c r="C915" t="s">
        <v>160</v>
      </c>
      <c r="D915" t="s">
        <v>886</v>
      </c>
      <c r="E915">
        <v>0.95235000000000003</v>
      </c>
      <c r="F915">
        <v>0.92122000000000004</v>
      </c>
      <c r="G915">
        <v>0.88148000000000004</v>
      </c>
      <c r="H915">
        <v>4.9320000000000003E-2</v>
      </c>
      <c r="I915">
        <v>0.89071999999999996</v>
      </c>
      <c r="J915">
        <v>4.3029999999999999E-2</v>
      </c>
    </row>
    <row r="916" spans="1:10" x14ac:dyDescent="0.2">
      <c r="A916" t="s">
        <v>344</v>
      </c>
      <c r="B916" t="s">
        <v>346</v>
      </c>
      <c r="C916" t="s">
        <v>116</v>
      </c>
      <c r="D916" t="s">
        <v>886</v>
      </c>
      <c r="E916">
        <v>0.91461999999999999</v>
      </c>
      <c r="F916">
        <v>0.81828000000000001</v>
      </c>
      <c r="G916">
        <v>0.87341000000000002</v>
      </c>
      <c r="H916">
        <v>4.0579999999999998E-2</v>
      </c>
      <c r="I916">
        <v>0.90807000000000004</v>
      </c>
      <c r="J916">
        <v>2.9940000000000001E-2</v>
      </c>
    </row>
    <row r="917" spans="1:10" x14ac:dyDescent="0.2">
      <c r="A917" t="s">
        <v>344</v>
      </c>
      <c r="B917" t="s">
        <v>346</v>
      </c>
      <c r="C917" t="s">
        <v>125</v>
      </c>
      <c r="D917" t="s">
        <v>886</v>
      </c>
      <c r="E917">
        <v>0.97024999999999995</v>
      </c>
      <c r="F917">
        <v>0.90164</v>
      </c>
      <c r="G917">
        <v>0.89509000000000005</v>
      </c>
      <c r="H917">
        <v>4.9059999999999999E-2</v>
      </c>
      <c r="I917">
        <v>0.91918999999999995</v>
      </c>
      <c r="J917">
        <v>3.542E-2</v>
      </c>
    </row>
    <row r="918" spans="1:10" x14ac:dyDescent="0.2">
      <c r="A918" t="s">
        <v>344</v>
      </c>
      <c r="B918" t="s">
        <v>346</v>
      </c>
      <c r="C918" t="s">
        <v>127</v>
      </c>
      <c r="D918" t="s">
        <v>886</v>
      </c>
      <c r="E918">
        <v>0.97245999999999999</v>
      </c>
      <c r="F918">
        <v>0.89773000000000003</v>
      </c>
      <c r="G918">
        <v>0.85792000000000002</v>
      </c>
      <c r="H918">
        <v>5.4469999999999998E-2</v>
      </c>
      <c r="I918">
        <v>0.94693000000000005</v>
      </c>
      <c r="J918">
        <v>2.9319999999999999E-2</v>
      </c>
    </row>
    <row r="919" spans="1:10" x14ac:dyDescent="0.2">
      <c r="A919" t="s">
        <v>344</v>
      </c>
      <c r="B919" t="s">
        <v>346</v>
      </c>
      <c r="C919" t="s">
        <v>131</v>
      </c>
      <c r="D919" t="s">
        <v>886</v>
      </c>
      <c r="E919">
        <v>0.90619000000000005</v>
      </c>
      <c r="F919">
        <v>0.83311000000000002</v>
      </c>
      <c r="G919">
        <v>0.85014999999999996</v>
      </c>
      <c r="H919">
        <v>5.9880000000000003E-2</v>
      </c>
      <c r="I919">
        <v>0.89793000000000001</v>
      </c>
      <c r="J919">
        <v>3.841E-2</v>
      </c>
    </row>
    <row r="920" spans="1:10" x14ac:dyDescent="0.2">
      <c r="A920" t="s">
        <v>344</v>
      </c>
      <c r="B920" t="s">
        <v>346</v>
      </c>
      <c r="C920" t="s">
        <v>144</v>
      </c>
      <c r="D920" t="s">
        <v>886</v>
      </c>
      <c r="E920">
        <v>0.97748999999999997</v>
      </c>
      <c r="F920">
        <v>0.89388000000000001</v>
      </c>
      <c r="G920">
        <v>0.89883000000000002</v>
      </c>
      <c r="H920">
        <v>4.6260000000000003E-2</v>
      </c>
      <c r="I920">
        <v>0.94430999999999998</v>
      </c>
      <c r="J920">
        <v>2.9590000000000002E-2</v>
      </c>
    </row>
    <row r="921" spans="1:10" x14ac:dyDescent="0.2">
      <c r="A921" t="s">
        <v>344</v>
      </c>
      <c r="B921" t="s">
        <v>346</v>
      </c>
      <c r="C921" t="s">
        <v>149</v>
      </c>
      <c r="D921" t="s">
        <v>886</v>
      </c>
      <c r="E921">
        <v>0.97779000000000005</v>
      </c>
      <c r="F921">
        <v>0.94971000000000005</v>
      </c>
      <c r="G921">
        <v>0.93340000000000001</v>
      </c>
      <c r="H921">
        <v>3.3619999999999997E-2</v>
      </c>
      <c r="I921">
        <v>0.9577</v>
      </c>
      <c r="J921">
        <v>3.4099999999999998E-2</v>
      </c>
    </row>
    <row r="922" spans="1:10" x14ac:dyDescent="0.2">
      <c r="A922" t="s">
        <v>344</v>
      </c>
      <c r="B922" t="s">
        <v>346</v>
      </c>
      <c r="C922" t="s">
        <v>80</v>
      </c>
      <c r="D922" t="s">
        <v>886</v>
      </c>
      <c r="E922">
        <v>0.97455000000000003</v>
      </c>
      <c r="F922">
        <v>0.91866000000000003</v>
      </c>
      <c r="G922">
        <v>0.88183999999999996</v>
      </c>
      <c r="H922">
        <v>4.4940000000000001E-2</v>
      </c>
      <c r="I922">
        <v>0.92147000000000001</v>
      </c>
      <c r="J922">
        <v>3.9320000000000001E-2</v>
      </c>
    </row>
    <row r="923" spans="1:10" x14ac:dyDescent="0.2">
      <c r="A923" t="s">
        <v>344</v>
      </c>
      <c r="B923" t="s">
        <v>346</v>
      </c>
      <c r="C923" t="s">
        <v>122</v>
      </c>
      <c r="D923" t="s">
        <v>886</v>
      </c>
      <c r="E923">
        <v>0.95798000000000005</v>
      </c>
      <c r="F923">
        <v>0.89507999999999999</v>
      </c>
      <c r="G923">
        <v>0.87346000000000001</v>
      </c>
      <c r="H923">
        <v>5.1619999999999999E-2</v>
      </c>
      <c r="I923">
        <v>0.92820999999999998</v>
      </c>
      <c r="J923">
        <v>3.7490000000000002E-2</v>
      </c>
    </row>
    <row r="924" spans="1:10" x14ac:dyDescent="0.2">
      <c r="A924" t="s">
        <v>344</v>
      </c>
      <c r="B924" t="s">
        <v>346</v>
      </c>
      <c r="C924" t="s">
        <v>140</v>
      </c>
      <c r="D924" t="s">
        <v>886</v>
      </c>
      <c r="E924">
        <v>0.94649000000000005</v>
      </c>
      <c r="F924">
        <v>0.84041999999999994</v>
      </c>
      <c r="G924">
        <v>0.87792999999999999</v>
      </c>
      <c r="H924">
        <v>4.6809999999999997E-2</v>
      </c>
      <c r="I924">
        <v>0.92505000000000004</v>
      </c>
      <c r="J924">
        <v>4.07E-2</v>
      </c>
    </row>
    <row r="925" spans="1:10" x14ac:dyDescent="0.2">
      <c r="A925" t="s">
        <v>344</v>
      </c>
      <c r="B925" t="s">
        <v>346</v>
      </c>
      <c r="C925" t="s">
        <v>141</v>
      </c>
      <c r="D925" t="s">
        <v>886</v>
      </c>
      <c r="E925">
        <v>0.97802</v>
      </c>
      <c r="F925">
        <v>0.84460000000000002</v>
      </c>
      <c r="G925">
        <v>0.85909999999999997</v>
      </c>
      <c r="H925">
        <v>5.0819999999999997E-2</v>
      </c>
      <c r="I925">
        <v>0.91042000000000001</v>
      </c>
      <c r="J925">
        <v>4.2360000000000002E-2</v>
      </c>
    </row>
    <row r="926" spans="1:10" x14ac:dyDescent="0.2">
      <c r="A926" t="s">
        <v>344</v>
      </c>
      <c r="B926" t="s">
        <v>346</v>
      </c>
      <c r="C926" t="s">
        <v>147</v>
      </c>
      <c r="D926" t="s">
        <v>886</v>
      </c>
      <c r="E926">
        <v>0.96014999999999995</v>
      </c>
      <c r="F926">
        <v>0.86624000000000001</v>
      </c>
      <c r="G926">
        <v>0.89195000000000002</v>
      </c>
      <c r="H926">
        <v>4.4720000000000003E-2</v>
      </c>
      <c r="I926">
        <v>0.89861999999999997</v>
      </c>
      <c r="J926">
        <v>3.8359999999999998E-2</v>
      </c>
    </row>
    <row r="927" spans="1:10" x14ac:dyDescent="0.2">
      <c r="A927" t="s">
        <v>344</v>
      </c>
      <c r="B927" t="s">
        <v>346</v>
      </c>
      <c r="C927" t="s">
        <v>157</v>
      </c>
      <c r="D927" t="s">
        <v>886</v>
      </c>
      <c r="E927">
        <v>0.97733000000000003</v>
      </c>
      <c r="F927">
        <v>0.93130999999999997</v>
      </c>
      <c r="G927">
        <v>0.93393999999999999</v>
      </c>
      <c r="H927">
        <v>3.3840000000000002E-2</v>
      </c>
      <c r="I927">
        <v>0.94467000000000001</v>
      </c>
      <c r="J927">
        <v>3.1280000000000002E-2</v>
      </c>
    </row>
    <row r="928" spans="1:10" x14ac:dyDescent="0.2">
      <c r="A928" t="s">
        <v>344</v>
      </c>
      <c r="B928" t="s">
        <v>346</v>
      </c>
      <c r="C928" t="s">
        <v>385</v>
      </c>
      <c r="D928" t="s">
        <v>886</v>
      </c>
      <c r="E928">
        <v>0.94066000000000005</v>
      </c>
      <c r="F928">
        <v>0.86538999999999999</v>
      </c>
      <c r="G928">
        <v>0.87031999999999998</v>
      </c>
      <c r="H928">
        <v>1.5049999999999999E-2</v>
      </c>
      <c r="I928">
        <v>0.91395000000000004</v>
      </c>
      <c r="J928">
        <v>1.5100000000000001E-2</v>
      </c>
    </row>
    <row r="929" spans="1:10" x14ac:dyDescent="0.2">
      <c r="A929" t="s">
        <v>344</v>
      </c>
      <c r="B929" t="s">
        <v>346</v>
      </c>
      <c r="D929" t="s">
        <v>886</v>
      </c>
      <c r="E929">
        <v>0.94901000000000002</v>
      </c>
      <c r="F929">
        <v>0.88280000000000003</v>
      </c>
      <c r="G929">
        <v>0.88741999999999999</v>
      </c>
      <c r="H929">
        <v>1.2449999999999999E-2</v>
      </c>
      <c r="I929">
        <v>0.88380999999999998</v>
      </c>
      <c r="J929">
        <v>2.1160000000000002E-2</v>
      </c>
    </row>
    <row r="930" spans="1:10" x14ac:dyDescent="0.2">
      <c r="A930" t="s">
        <v>344</v>
      </c>
      <c r="B930" t="s">
        <v>346</v>
      </c>
      <c r="C930" t="s">
        <v>118</v>
      </c>
      <c r="D930" t="s">
        <v>886</v>
      </c>
      <c r="E930">
        <v>0.93769000000000002</v>
      </c>
      <c r="F930">
        <v>0.87555000000000005</v>
      </c>
      <c r="G930">
        <v>0.84650000000000003</v>
      </c>
      <c r="H930">
        <v>5.1159999999999997E-2</v>
      </c>
      <c r="I930">
        <v>0.89329000000000003</v>
      </c>
      <c r="J930">
        <v>4.0399999999999998E-2</v>
      </c>
    </row>
    <row r="931" spans="1:10" x14ac:dyDescent="0.2">
      <c r="A931" t="s">
        <v>344</v>
      </c>
      <c r="B931" t="s">
        <v>346</v>
      </c>
      <c r="C931" t="s">
        <v>119</v>
      </c>
      <c r="D931" t="s">
        <v>886</v>
      </c>
      <c r="E931">
        <v>0.93577999999999995</v>
      </c>
      <c r="F931">
        <v>0.81491999999999998</v>
      </c>
      <c r="G931">
        <v>0.84189000000000003</v>
      </c>
      <c r="H931">
        <v>4.6769999999999999E-2</v>
      </c>
      <c r="I931">
        <v>0.91020999999999996</v>
      </c>
      <c r="J931">
        <v>2.9389999999999999E-2</v>
      </c>
    </row>
    <row r="932" spans="1:10" x14ac:dyDescent="0.2">
      <c r="A932" t="s">
        <v>344</v>
      </c>
      <c r="B932" t="s">
        <v>346</v>
      </c>
      <c r="C932" t="s">
        <v>128</v>
      </c>
      <c r="D932" t="s">
        <v>886</v>
      </c>
      <c r="E932">
        <v>0.95998000000000006</v>
      </c>
      <c r="F932">
        <v>0.91800000000000004</v>
      </c>
      <c r="G932">
        <v>0.90729000000000004</v>
      </c>
      <c r="H932">
        <v>3.8940000000000002E-2</v>
      </c>
      <c r="I932">
        <v>0.92437000000000002</v>
      </c>
      <c r="J932">
        <v>3.7089999999999998E-2</v>
      </c>
    </row>
    <row r="933" spans="1:10" x14ac:dyDescent="0.2">
      <c r="A933" t="s">
        <v>344</v>
      </c>
      <c r="B933" t="s">
        <v>346</v>
      </c>
      <c r="C933" t="s">
        <v>134</v>
      </c>
      <c r="D933" t="s">
        <v>886</v>
      </c>
      <c r="E933">
        <v>0.98168</v>
      </c>
      <c r="F933">
        <v>0.91510999999999998</v>
      </c>
      <c r="G933">
        <v>0.89315999999999995</v>
      </c>
      <c r="H933">
        <v>5.0560000000000001E-2</v>
      </c>
      <c r="I933">
        <v>0.92798000000000003</v>
      </c>
      <c r="J933">
        <v>3.7010000000000001E-2</v>
      </c>
    </row>
    <row r="934" spans="1:10" x14ac:dyDescent="0.2">
      <c r="A934" t="s">
        <v>344</v>
      </c>
      <c r="B934" t="s">
        <v>346</v>
      </c>
      <c r="C934" t="s">
        <v>136</v>
      </c>
      <c r="D934" t="s">
        <v>886</v>
      </c>
      <c r="E934">
        <v>0.94691000000000003</v>
      </c>
      <c r="F934">
        <v>0.90698999999999996</v>
      </c>
      <c r="G934">
        <v>0.92876000000000003</v>
      </c>
      <c r="H934">
        <v>3.6450000000000003E-2</v>
      </c>
      <c r="I934">
        <v>0.92462999999999995</v>
      </c>
      <c r="J934">
        <v>3.551E-2</v>
      </c>
    </row>
    <row r="935" spans="1:10" x14ac:dyDescent="0.2">
      <c r="A935" t="s">
        <v>344</v>
      </c>
      <c r="B935" t="s">
        <v>346</v>
      </c>
      <c r="C935" t="s">
        <v>139</v>
      </c>
      <c r="D935" t="s">
        <v>886</v>
      </c>
      <c r="E935">
        <v>0.94774999999999998</v>
      </c>
      <c r="F935">
        <v>0.84125000000000005</v>
      </c>
      <c r="G935">
        <v>0.86926000000000003</v>
      </c>
      <c r="H935">
        <v>4.3779999999999999E-2</v>
      </c>
      <c r="I935">
        <v>0.88166999999999995</v>
      </c>
      <c r="J935">
        <v>3.9879999999999999E-2</v>
      </c>
    </row>
    <row r="936" spans="1:10" x14ac:dyDescent="0.2">
      <c r="A936" t="s">
        <v>344</v>
      </c>
      <c r="B936" t="s">
        <v>346</v>
      </c>
      <c r="C936" t="s">
        <v>142</v>
      </c>
      <c r="D936" t="s">
        <v>886</v>
      </c>
      <c r="E936">
        <v>0.93762999999999996</v>
      </c>
      <c r="F936">
        <v>0.84519999999999995</v>
      </c>
      <c r="G936">
        <v>0.91993000000000003</v>
      </c>
      <c r="H936">
        <v>4.2459999999999998E-2</v>
      </c>
      <c r="I936">
        <v>0.93213999999999997</v>
      </c>
      <c r="J936">
        <v>5.1029999999999999E-2</v>
      </c>
    </row>
    <row r="937" spans="1:10" x14ac:dyDescent="0.2">
      <c r="A937" t="s">
        <v>344</v>
      </c>
      <c r="B937" t="s">
        <v>346</v>
      </c>
      <c r="C937" t="s">
        <v>150</v>
      </c>
      <c r="D937" t="s">
        <v>886</v>
      </c>
      <c r="E937">
        <v>0.96230000000000004</v>
      </c>
      <c r="F937">
        <v>0.90954999999999997</v>
      </c>
      <c r="G937">
        <v>0.86782000000000004</v>
      </c>
      <c r="H937">
        <v>4.4650000000000002E-2</v>
      </c>
      <c r="I937">
        <v>0.92206999999999995</v>
      </c>
      <c r="J937">
        <v>3.7190000000000001E-2</v>
      </c>
    </row>
    <row r="938" spans="1:10" x14ac:dyDescent="0.2">
      <c r="A938" t="s">
        <v>344</v>
      </c>
      <c r="B938" t="s">
        <v>346</v>
      </c>
      <c r="C938" t="s">
        <v>151</v>
      </c>
      <c r="D938" t="s">
        <v>886</v>
      </c>
      <c r="E938">
        <v>0.91615000000000002</v>
      </c>
      <c r="F938">
        <v>0.84172000000000002</v>
      </c>
      <c r="G938">
        <v>0.87902000000000002</v>
      </c>
      <c r="H938">
        <v>4.2979999999999997E-2</v>
      </c>
      <c r="I938">
        <v>0.94589000000000001</v>
      </c>
      <c r="J938">
        <v>3.3239999999999999E-2</v>
      </c>
    </row>
    <row r="939" spans="1:10" x14ac:dyDescent="0.2">
      <c r="A939" t="s">
        <v>344</v>
      </c>
      <c r="B939" t="s">
        <v>346</v>
      </c>
      <c r="C939" t="s">
        <v>156</v>
      </c>
      <c r="D939" t="s">
        <v>886</v>
      </c>
      <c r="E939">
        <v>0.97985999999999995</v>
      </c>
      <c r="F939">
        <v>0.93278000000000005</v>
      </c>
      <c r="G939">
        <v>0.91495000000000004</v>
      </c>
      <c r="H939">
        <v>4.2389999999999997E-2</v>
      </c>
      <c r="I939">
        <v>0.91674999999999995</v>
      </c>
      <c r="J939">
        <v>4.759E-2</v>
      </c>
    </row>
    <row r="940" spans="1:10" x14ac:dyDescent="0.2">
      <c r="A940" t="s">
        <v>344</v>
      </c>
      <c r="B940" t="s">
        <v>346</v>
      </c>
      <c r="C940" t="s">
        <v>388</v>
      </c>
      <c r="D940" t="s">
        <v>886</v>
      </c>
      <c r="E940">
        <v>0.95630999999999999</v>
      </c>
      <c r="F940">
        <v>0.86151</v>
      </c>
      <c r="G940">
        <v>0.876</v>
      </c>
      <c r="H940">
        <v>1.5910000000000001E-2</v>
      </c>
      <c r="I940">
        <v>0.90785000000000005</v>
      </c>
      <c r="J940">
        <v>2.256E-2</v>
      </c>
    </row>
    <row r="941" spans="1:10" x14ac:dyDescent="0.2">
      <c r="A941" t="s">
        <v>344</v>
      </c>
      <c r="B941" t="s">
        <v>347</v>
      </c>
      <c r="C941" t="s">
        <v>130</v>
      </c>
      <c r="D941" t="s">
        <v>886</v>
      </c>
      <c r="F941">
        <v>0.92849999999999999</v>
      </c>
      <c r="G941">
        <v>0.93891999999999998</v>
      </c>
      <c r="H941">
        <v>3.8449999999999998E-2</v>
      </c>
      <c r="I941">
        <v>0.96763999999999994</v>
      </c>
      <c r="J941">
        <v>3.2960000000000003E-2</v>
      </c>
    </row>
    <row r="942" spans="1:10" x14ac:dyDescent="0.2">
      <c r="A942" t="s">
        <v>344</v>
      </c>
      <c r="B942" t="s">
        <v>347</v>
      </c>
      <c r="C942" t="s">
        <v>338</v>
      </c>
      <c r="D942" t="s">
        <v>886</v>
      </c>
      <c r="F942">
        <v>0.92210000000000003</v>
      </c>
      <c r="G942">
        <v>0.94577</v>
      </c>
      <c r="H942">
        <v>2.1229999999999999E-2</v>
      </c>
      <c r="I942">
        <v>0.94279999999999997</v>
      </c>
      <c r="J942">
        <v>2.6360000000000001E-2</v>
      </c>
    </row>
    <row r="943" spans="1:10" x14ac:dyDescent="0.2">
      <c r="A943" t="s">
        <v>344</v>
      </c>
      <c r="B943" t="s">
        <v>347</v>
      </c>
      <c r="C943" t="s">
        <v>86</v>
      </c>
      <c r="D943" t="s">
        <v>886</v>
      </c>
      <c r="F943">
        <v>0.87351000000000001</v>
      </c>
      <c r="G943">
        <v>0.90705999999999998</v>
      </c>
      <c r="H943">
        <v>5.042E-2</v>
      </c>
      <c r="I943">
        <v>0.91637000000000002</v>
      </c>
      <c r="J943">
        <v>5.1249999999999997E-2</v>
      </c>
    </row>
    <row r="944" spans="1:10" x14ac:dyDescent="0.2">
      <c r="A944" t="s">
        <v>344</v>
      </c>
      <c r="B944" t="s">
        <v>347</v>
      </c>
      <c r="C944" t="s">
        <v>134</v>
      </c>
      <c r="D944" t="s">
        <v>886</v>
      </c>
      <c r="F944">
        <v>0.94686000000000003</v>
      </c>
      <c r="G944">
        <v>0.97704000000000002</v>
      </c>
      <c r="H944">
        <v>2.4750000000000001E-2</v>
      </c>
      <c r="I944">
        <v>0.95708000000000004</v>
      </c>
      <c r="J944">
        <v>4.0779999999999997E-2</v>
      </c>
    </row>
    <row r="945" spans="1:7" x14ac:dyDescent="0.2">
      <c r="A945" t="s">
        <v>345</v>
      </c>
      <c r="B945" t="s">
        <v>338</v>
      </c>
      <c r="C945" t="s">
        <v>112</v>
      </c>
      <c r="D945" t="s">
        <v>887</v>
      </c>
      <c r="E945">
        <v>2170</v>
      </c>
      <c r="F945">
        <v>2050</v>
      </c>
      <c r="G945">
        <v>120</v>
      </c>
    </row>
    <row r="946" spans="1:7" x14ac:dyDescent="0.2">
      <c r="A946" t="s">
        <v>345</v>
      </c>
      <c r="B946" t="s">
        <v>338</v>
      </c>
      <c r="C946" t="s">
        <v>131</v>
      </c>
      <c r="D946" t="s">
        <v>887</v>
      </c>
      <c r="E946">
        <v>1652</v>
      </c>
      <c r="F946">
        <v>1754</v>
      </c>
      <c r="G946">
        <v>-102</v>
      </c>
    </row>
    <row r="947" spans="1:7" x14ac:dyDescent="0.2">
      <c r="A947" t="s">
        <v>345</v>
      </c>
      <c r="B947" t="s">
        <v>338</v>
      </c>
      <c r="C947" t="s">
        <v>146</v>
      </c>
      <c r="D947" t="s">
        <v>887</v>
      </c>
      <c r="E947">
        <v>2802</v>
      </c>
      <c r="F947">
        <v>2779</v>
      </c>
      <c r="G947">
        <v>23</v>
      </c>
    </row>
    <row r="948" spans="1:7" x14ac:dyDescent="0.2">
      <c r="A948" t="s">
        <v>345</v>
      </c>
      <c r="B948" t="s">
        <v>338</v>
      </c>
      <c r="C948" t="s">
        <v>338</v>
      </c>
      <c r="D948" t="s">
        <v>887</v>
      </c>
      <c r="E948">
        <v>6624</v>
      </c>
      <c r="F948">
        <v>6583</v>
      </c>
      <c r="G948">
        <v>41</v>
      </c>
    </row>
    <row r="949" spans="1:7" x14ac:dyDescent="0.2">
      <c r="A949" t="s">
        <v>345</v>
      </c>
      <c r="B949" t="s">
        <v>339</v>
      </c>
      <c r="C949" t="s">
        <v>112</v>
      </c>
      <c r="D949" t="s">
        <v>887</v>
      </c>
      <c r="E949">
        <v>26158</v>
      </c>
      <c r="F949">
        <v>26876</v>
      </c>
      <c r="G949">
        <v>-718</v>
      </c>
    </row>
    <row r="950" spans="1:7" x14ac:dyDescent="0.2">
      <c r="A950" t="s">
        <v>345</v>
      </c>
      <c r="B950" t="s">
        <v>339</v>
      </c>
      <c r="C950" t="s">
        <v>118</v>
      </c>
      <c r="D950" t="s">
        <v>887</v>
      </c>
      <c r="E950">
        <v>1</v>
      </c>
      <c r="F950">
        <v>1</v>
      </c>
      <c r="G950">
        <v>0</v>
      </c>
    </row>
    <row r="951" spans="1:7" x14ac:dyDescent="0.2">
      <c r="A951" t="s">
        <v>345</v>
      </c>
      <c r="B951" t="s">
        <v>339</v>
      </c>
      <c r="C951" t="s">
        <v>131</v>
      </c>
      <c r="D951" t="s">
        <v>887</v>
      </c>
      <c r="E951">
        <v>45134</v>
      </c>
      <c r="F951">
        <v>44367</v>
      </c>
      <c r="G951">
        <v>767</v>
      </c>
    </row>
    <row r="952" spans="1:7" x14ac:dyDescent="0.2">
      <c r="A952" t="s">
        <v>345</v>
      </c>
      <c r="B952" t="s">
        <v>339</v>
      </c>
      <c r="C952" t="s">
        <v>146</v>
      </c>
      <c r="D952" t="s">
        <v>887</v>
      </c>
      <c r="E952">
        <v>72478</v>
      </c>
      <c r="F952">
        <v>77983</v>
      </c>
      <c r="G952">
        <v>-5505</v>
      </c>
    </row>
    <row r="953" spans="1:7" x14ac:dyDescent="0.2">
      <c r="A953" t="s">
        <v>345</v>
      </c>
      <c r="B953" t="s">
        <v>339</v>
      </c>
      <c r="C953" t="s">
        <v>338</v>
      </c>
      <c r="D953" t="s">
        <v>887</v>
      </c>
      <c r="E953">
        <v>143771</v>
      </c>
      <c r="F953">
        <v>149227</v>
      </c>
      <c r="G953">
        <v>-5456</v>
      </c>
    </row>
    <row r="954" spans="1:7" x14ac:dyDescent="0.2">
      <c r="A954" t="s">
        <v>338</v>
      </c>
      <c r="B954" t="s">
        <v>648</v>
      </c>
      <c r="C954" t="s">
        <v>384</v>
      </c>
      <c r="D954" t="s">
        <v>384</v>
      </c>
      <c r="E954">
        <v>9554</v>
      </c>
      <c r="F954">
        <v>466</v>
      </c>
      <c r="G954">
        <v>51.51</v>
      </c>
    </row>
    <row r="955" spans="1:7" x14ac:dyDescent="0.2">
      <c r="A955" t="s">
        <v>338</v>
      </c>
      <c r="B955" t="s">
        <v>648</v>
      </c>
      <c r="C955" t="s">
        <v>649</v>
      </c>
      <c r="D955" t="s">
        <v>384</v>
      </c>
      <c r="E955">
        <v>74224</v>
      </c>
      <c r="F955">
        <v>13637</v>
      </c>
      <c r="G955">
        <v>101.54</v>
      </c>
    </row>
    <row r="956" spans="1:7" x14ac:dyDescent="0.2">
      <c r="A956" t="s">
        <v>338</v>
      </c>
      <c r="B956" t="s">
        <v>648</v>
      </c>
      <c r="C956" t="s">
        <v>109</v>
      </c>
      <c r="D956" t="s">
        <v>384</v>
      </c>
      <c r="E956">
        <v>211</v>
      </c>
      <c r="F956">
        <v>58</v>
      </c>
      <c r="G956">
        <v>157.62</v>
      </c>
    </row>
    <row r="957" spans="1:7" x14ac:dyDescent="0.2">
      <c r="A957" t="s">
        <v>338</v>
      </c>
      <c r="B957" t="s">
        <v>648</v>
      </c>
      <c r="C957" t="s">
        <v>110</v>
      </c>
      <c r="D957" t="s">
        <v>384</v>
      </c>
      <c r="E957">
        <v>869</v>
      </c>
      <c r="F957">
        <v>145</v>
      </c>
      <c r="G957">
        <v>118.83</v>
      </c>
    </row>
    <row r="958" spans="1:7" x14ac:dyDescent="0.2">
      <c r="A958" t="s">
        <v>338</v>
      </c>
      <c r="B958" t="s">
        <v>648</v>
      </c>
      <c r="C958" t="s">
        <v>111</v>
      </c>
      <c r="D958" t="s">
        <v>384</v>
      </c>
      <c r="E958">
        <v>402</v>
      </c>
      <c r="F958">
        <v>107</v>
      </c>
      <c r="G958">
        <v>124.11</v>
      </c>
    </row>
    <row r="959" spans="1:7" x14ac:dyDescent="0.2">
      <c r="A959" t="s">
        <v>338</v>
      </c>
      <c r="B959" t="s">
        <v>648</v>
      </c>
      <c r="C959" t="s">
        <v>112</v>
      </c>
      <c r="D959" t="s">
        <v>384</v>
      </c>
      <c r="E959">
        <v>378</v>
      </c>
      <c r="F959">
        <v>104</v>
      </c>
      <c r="G959">
        <v>105.81</v>
      </c>
    </row>
    <row r="960" spans="1:7" x14ac:dyDescent="0.2">
      <c r="A960" t="s">
        <v>338</v>
      </c>
      <c r="B960" t="s">
        <v>648</v>
      </c>
      <c r="C960" t="s">
        <v>113</v>
      </c>
      <c r="D960" t="s">
        <v>384</v>
      </c>
      <c r="E960">
        <v>112</v>
      </c>
      <c r="F960">
        <v>30</v>
      </c>
      <c r="G960">
        <v>142.22</v>
      </c>
    </row>
    <row r="961" spans="1:7" x14ac:dyDescent="0.2">
      <c r="A961" t="s">
        <v>338</v>
      </c>
      <c r="B961" t="s">
        <v>648</v>
      </c>
      <c r="C961" t="s">
        <v>114</v>
      </c>
      <c r="D961" t="s">
        <v>384</v>
      </c>
      <c r="E961">
        <v>195</v>
      </c>
      <c r="F961">
        <v>37</v>
      </c>
      <c r="G961">
        <v>82.95</v>
      </c>
    </row>
    <row r="962" spans="1:7" x14ac:dyDescent="0.2">
      <c r="A962" t="s">
        <v>338</v>
      </c>
      <c r="B962" t="s">
        <v>648</v>
      </c>
      <c r="C962" t="s">
        <v>86</v>
      </c>
      <c r="D962" t="s">
        <v>384</v>
      </c>
      <c r="E962">
        <v>5725</v>
      </c>
      <c r="F962">
        <v>915</v>
      </c>
      <c r="G962">
        <v>89.26</v>
      </c>
    </row>
    <row r="963" spans="1:7" x14ac:dyDescent="0.2">
      <c r="A963" t="s">
        <v>338</v>
      </c>
      <c r="B963" t="s">
        <v>648</v>
      </c>
      <c r="C963" t="s">
        <v>115</v>
      </c>
      <c r="D963" t="s">
        <v>384</v>
      </c>
      <c r="E963">
        <v>725</v>
      </c>
      <c r="F963">
        <v>162</v>
      </c>
      <c r="G963">
        <v>117.09</v>
      </c>
    </row>
    <row r="964" spans="1:7" x14ac:dyDescent="0.2">
      <c r="A964" t="s">
        <v>338</v>
      </c>
      <c r="B964" t="s">
        <v>648</v>
      </c>
      <c r="C964" t="s">
        <v>116</v>
      </c>
      <c r="D964" t="s">
        <v>384</v>
      </c>
      <c r="E964">
        <v>406</v>
      </c>
      <c r="F964">
        <v>151</v>
      </c>
      <c r="G964">
        <v>245.04</v>
      </c>
    </row>
    <row r="965" spans="1:7" x14ac:dyDescent="0.2">
      <c r="A965" t="s">
        <v>338</v>
      </c>
      <c r="B965" t="s">
        <v>648</v>
      </c>
      <c r="C965" t="s">
        <v>89</v>
      </c>
      <c r="D965" t="s">
        <v>384</v>
      </c>
      <c r="E965">
        <v>1353</v>
      </c>
      <c r="F965">
        <v>232</v>
      </c>
      <c r="G965">
        <v>102.32</v>
      </c>
    </row>
    <row r="966" spans="1:7" x14ac:dyDescent="0.2">
      <c r="A966" t="s">
        <v>338</v>
      </c>
      <c r="B966" t="s">
        <v>648</v>
      </c>
      <c r="C966" t="s">
        <v>117</v>
      </c>
      <c r="D966" t="s">
        <v>384</v>
      </c>
      <c r="E966">
        <v>307</v>
      </c>
      <c r="F966">
        <v>46</v>
      </c>
      <c r="G966">
        <v>104.77</v>
      </c>
    </row>
    <row r="967" spans="1:7" x14ac:dyDescent="0.2">
      <c r="A967" t="s">
        <v>338</v>
      </c>
      <c r="B967" t="s">
        <v>648</v>
      </c>
      <c r="C967" t="s">
        <v>118</v>
      </c>
      <c r="D967" t="s">
        <v>384</v>
      </c>
      <c r="E967">
        <v>1683</v>
      </c>
      <c r="F967">
        <v>329</v>
      </c>
      <c r="G967">
        <v>100.5</v>
      </c>
    </row>
    <row r="968" spans="1:7" x14ac:dyDescent="0.2">
      <c r="A968" t="s">
        <v>338</v>
      </c>
      <c r="B968" t="s">
        <v>648</v>
      </c>
      <c r="C968" t="s">
        <v>119</v>
      </c>
      <c r="D968" t="s">
        <v>384</v>
      </c>
      <c r="E968">
        <v>1536</v>
      </c>
      <c r="F968">
        <v>368</v>
      </c>
      <c r="G968">
        <v>117.42</v>
      </c>
    </row>
    <row r="969" spans="1:7" x14ac:dyDescent="0.2">
      <c r="A969" t="s">
        <v>338</v>
      </c>
      <c r="B969" t="s">
        <v>648</v>
      </c>
      <c r="C969" t="s">
        <v>120</v>
      </c>
      <c r="D969" t="s">
        <v>384</v>
      </c>
      <c r="E969">
        <v>2212</v>
      </c>
      <c r="F969">
        <v>446</v>
      </c>
      <c r="G969">
        <v>98.19</v>
      </c>
    </row>
    <row r="970" spans="1:7" x14ac:dyDescent="0.2">
      <c r="A970" t="s">
        <v>338</v>
      </c>
      <c r="B970" t="s">
        <v>648</v>
      </c>
      <c r="C970" t="s">
        <v>121</v>
      </c>
      <c r="D970" t="s">
        <v>384</v>
      </c>
      <c r="E970">
        <v>2445</v>
      </c>
      <c r="F970">
        <v>404</v>
      </c>
      <c r="G970">
        <v>94.26</v>
      </c>
    </row>
    <row r="971" spans="1:7" x14ac:dyDescent="0.2">
      <c r="A971" t="s">
        <v>338</v>
      </c>
      <c r="B971" t="s">
        <v>648</v>
      </c>
      <c r="C971" t="s">
        <v>80</v>
      </c>
      <c r="D971" t="s">
        <v>384</v>
      </c>
      <c r="E971">
        <v>1793</v>
      </c>
      <c r="F971">
        <v>412</v>
      </c>
      <c r="G971">
        <v>125.24</v>
      </c>
    </row>
    <row r="972" spans="1:7" x14ac:dyDescent="0.2">
      <c r="A972" t="s">
        <v>338</v>
      </c>
      <c r="B972" t="s">
        <v>648</v>
      </c>
      <c r="C972" t="s">
        <v>122</v>
      </c>
      <c r="D972" t="s">
        <v>384</v>
      </c>
      <c r="E972">
        <v>434</v>
      </c>
      <c r="F972">
        <v>71</v>
      </c>
      <c r="G972">
        <v>95.85</v>
      </c>
    </row>
    <row r="973" spans="1:7" x14ac:dyDescent="0.2">
      <c r="A973" t="s">
        <v>338</v>
      </c>
      <c r="B973" t="s">
        <v>648</v>
      </c>
      <c r="C973" t="s">
        <v>123</v>
      </c>
      <c r="D973" t="s">
        <v>384</v>
      </c>
      <c r="E973">
        <v>1111</v>
      </c>
      <c r="F973">
        <v>207</v>
      </c>
      <c r="G973">
        <v>176.44</v>
      </c>
    </row>
    <row r="974" spans="1:7" x14ac:dyDescent="0.2">
      <c r="A974" t="s">
        <v>338</v>
      </c>
      <c r="B974" t="s">
        <v>648</v>
      </c>
      <c r="C974" t="s">
        <v>124</v>
      </c>
      <c r="D974" t="s">
        <v>384</v>
      </c>
      <c r="E974">
        <v>624</v>
      </c>
      <c r="F974">
        <v>96</v>
      </c>
      <c r="G974">
        <v>82.91</v>
      </c>
    </row>
    <row r="975" spans="1:7" x14ac:dyDescent="0.2">
      <c r="A975" t="s">
        <v>338</v>
      </c>
      <c r="B975" t="s">
        <v>648</v>
      </c>
      <c r="C975" t="s">
        <v>125</v>
      </c>
      <c r="D975" t="s">
        <v>384</v>
      </c>
      <c r="E975">
        <v>1479</v>
      </c>
      <c r="F975">
        <v>198</v>
      </c>
      <c r="G975">
        <v>78.19</v>
      </c>
    </row>
    <row r="976" spans="1:7" x14ac:dyDescent="0.2">
      <c r="A976" t="s">
        <v>338</v>
      </c>
      <c r="B976" t="s">
        <v>648</v>
      </c>
      <c r="C976" t="s">
        <v>126</v>
      </c>
      <c r="D976" t="s">
        <v>384</v>
      </c>
      <c r="E976">
        <v>3085</v>
      </c>
      <c r="F976">
        <v>983</v>
      </c>
      <c r="G976">
        <v>182.14</v>
      </c>
    </row>
    <row r="977" spans="1:7" x14ac:dyDescent="0.2">
      <c r="A977" t="s">
        <v>338</v>
      </c>
      <c r="B977" t="s">
        <v>648</v>
      </c>
      <c r="C977" t="s">
        <v>127</v>
      </c>
      <c r="D977" t="s">
        <v>384</v>
      </c>
      <c r="E977">
        <v>1571</v>
      </c>
      <c r="F977">
        <v>717</v>
      </c>
      <c r="G977">
        <v>249.91</v>
      </c>
    </row>
    <row r="978" spans="1:7" x14ac:dyDescent="0.2">
      <c r="A978" t="s">
        <v>338</v>
      </c>
      <c r="B978" t="s">
        <v>648</v>
      </c>
      <c r="C978" t="s">
        <v>128</v>
      </c>
      <c r="D978" t="s">
        <v>384</v>
      </c>
      <c r="E978">
        <v>556</v>
      </c>
      <c r="F978">
        <v>113</v>
      </c>
      <c r="G978">
        <v>115.98</v>
      </c>
    </row>
    <row r="979" spans="1:7" x14ac:dyDescent="0.2">
      <c r="A979" t="s">
        <v>338</v>
      </c>
      <c r="B979" t="s">
        <v>648</v>
      </c>
      <c r="C979" t="s">
        <v>129</v>
      </c>
      <c r="D979" t="s">
        <v>384</v>
      </c>
      <c r="E979">
        <v>1646</v>
      </c>
      <c r="F979">
        <v>353</v>
      </c>
      <c r="G979">
        <v>127.92</v>
      </c>
    </row>
    <row r="980" spans="1:7" x14ac:dyDescent="0.2">
      <c r="A980" t="s">
        <v>338</v>
      </c>
      <c r="B980" t="s">
        <v>648</v>
      </c>
      <c r="C980" t="s">
        <v>130</v>
      </c>
      <c r="D980" t="s">
        <v>384</v>
      </c>
      <c r="E980">
        <v>6297</v>
      </c>
      <c r="F980">
        <v>726</v>
      </c>
      <c r="G980">
        <v>81.11</v>
      </c>
    </row>
    <row r="981" spans="1:7" x14ac:dyDescent="0.2">
      <c r="A981" t="s">
        <v>338</v>
      </c>
      <c r="B981" t="s">
        <v>648</v>
      </c>
      <c r="C981" t="s">
        <v>131</v>
      </c>
      <c r="D981" t="s">
        <v>384</v>
      </c>
      <c r="E981">
        <v>896</v>
      </c>
      <c r="F981">
        <v>153</v>
      </c>
      <c r="G981">
        <v>82.52</v>
      </c>
    </row>
    <row r="982" spans="1:7" x14ac:dyDescent="0.2">
      <c r="A982" t="s">
        <v>338</v>
      </c>
      <c r="B982" t="s">
        <v>648</v>
      </c>
      <c r="C982" t="s">
        <v>132</v>
      </c>
      <c r="D982" t="s">
        <v>384</v>
      </c>
      <c r="E982">
        <v>164</v>
      </c>
      <c r="F982">
        <v>32</v>
      </c>
      <c r="G982">
        <v>88.98</v>
      </c>
    </row>
    <row r="983" spans="1:7" x14ac:dyDescent="0.2">
      <c r="A983" t="s">
        <v>338</v>
      </c>
      <c r="B983" t="s">
        <v>648</v>
      </c>
      <c r="C983" t="s">
        <v>133</v>
      </c>
      <c r="D983" t="s">
        <v>384</v>
      </c>
      <c r="E983">
        <v>1532</v>
      </c>
      <c r="F983">
        <v>444</v>
      </c>
      <c r="G983">
        <v>111.98</v>
      </c>
    </row>
    <row r="984" spans="1:7" x14ac:dyDescent="0.2">
      <c r="A984" t="s">
        <v>338</v>
      </c>
      <c r="B984" t="s">
        <v>648</v>
      </c>
      <c r="C984" t="s">
        <v>134</v>
      </c>
      <c r="D984" t="s">
        <v>384</v>
      </c>
      <c r="E984">
        <v>5798</v>
      </c>
      <c r="F984">
        <v>1037</v>
      </c>
      <c r="G984">
        <v>94.26</v>
      </c>
    </row>
    <row r="985" spans="1:7" x14ac:dyDescent="0.2">
      <c r="A985" t="s">
        <v>338</v>
      </c>
      <c r="B985" t="s">
        <v>648</v>
      </c>
      <c r="C985" t="s">
        <v>135</v>
      </c>
      <c r="D985" t="s">
        <v>384</v>
      </c>
      <c r="E985">
        <v>385</v>
      </c>
      <c r="F985">
        <v>77</v>
      </c>
      <c r="G985">
        <v>115.84</v>
      </c>
    </row>
    <row r="986" spans="1:7" x14ac:dyDescent="0.2">
      <c r="A986" t="s">
        <v>338</v>
      </c>
      <c r="B986" t="s">
        <v>648</v>
      </c>
      <c r="C986" t="s">
        <v>136</v>
      </c>
      <c r="D986" t="s">
        <v>384</v>
      </c>
      <c r="E986">
        <v>352</v>
      </c>
      <c r="F986">
        <v>65</v>
      </c>
      <c r="G986">
        <v>75.2</v>
      </c>
    </row>
    <row r="987" spans="1:7" x14ac:dyDescent="0.2">
      <c r="A987" t="s">
        <v>338</v>
      </c>
      <c r="B987" t="s">
        <v>648</v>
      </c>
      <c r="C987" t="s">
        <v>137</v>
      </c>
      <c r="D987" t="s">
        <v>384</v>
      </c>
      <c r="E987">
        <v>3283</v>
      </c>
      <c r="F987">
        <v>744</v>
      </c>
      <c r="G987">
        <v>117.44</v>
      </c>
    </row>
    <row r="988" spans="1:7" x14ac:dyDescent="0.2">
      <c r="A988" t="s">
        <v>338</v>
      </c>
      <c r="B988" t="s">
        <v>648</v>
      </c>
      <c r="C988" t="s">
        <v>138</v>
      </c>
      <c r="D988" t="s">
        <v>384</v>
      </c>
      <c r="E988">
        <v>672</v>
      </c>
      <c r="F988">
        <v>154</v>
      </c>
      <c r="G988">
        <v>100.37</v>
      </c>
    </row>
    <row r="989" spans="1:7" x14ac:dyDescent="0.2">
      <c r="A989" t="s">
        <v>338</v>
      </c>
      <c r="B989" t="s">
        <v>648</v>
      </c>
      <c r="C989" t="s">
        <v>139</v>
      </c>
      <c r="D989" t="s">
        <v>384</v>
      </c>
      <c r="E989">
        <v>626</v>
      </c>
      <c r="F989">
        <v>119</v>
      </c>
      <c r="G989">
        <v>104.86</v>
      </c>
    </row>
    <row r="990" spans="1:7" x14ac:dyDescent="0.2">
      <c r="A990" t="s">
        <v>338</v>
      </c>
      <c r="B990" t="s">
        <v>648</v>
      </c>
      <c r="C990" t="s">
        <v>140</v>
      </c>
      <c r="D990" t="s">
        <v>384</v>
      </c>
      <c r="E990">
        <v>406</v>
      </c>
      <c r="F990">
        <v>94</v>
      </c>
      <c r="G990">
        <v>108.16</v>
      </c>
    </row>
    <row r="991" spans="1:7" x14ac:dyDescent="0.2">
      <c r="A991" t="s">
        <v>338</v>
      </c>
      <c r="B991" t="s">
        <v>648</v>
      </c>
      <c r="C991" t="s">
        <v>141</v>
      </c>
      <c r="D991" t="s">
        <v>384</v>
      </c>
      <c r="E991">
        <v>1114</v>
      </c>
      <c r="F991">
        <v>234</v>
      </c>
      <c r="G991">
        <v>105.46</v>
      </c>
    </row>
    <row r="992" spans="1:7" x14ac:dyDescent="0.2">
      <c r="A992" t="s">
        <v>338</v>
      </c>
      <c r="B992" t="s">
        <v>648</v>
      </c>
      <c r="C992" t="s">
        <v>142</v>
      </c>
      <c r="D992" t="s">
        <v>384</v>
      </c>
      <c r="E992">
        <v>174</v>
      </c>
      <c r="F992">
        <v>42</v>
      </c>
      <c r="G992">
        <v>93.66</v>
      </c>
    </row>
    <row r="993" spans="1:7" x14ac:dyDescent="0.2">
      <c r="A993" t="s">
        <v>338</v>
      </c>
      <c r="B993" t="s">
        <v>648</v>
      </c>
      <c r="C993" t="s">
        <v>143</v>
      </c>
      <c r="D993" t="s">
        <v>384</v>
      </c>
      <c r="E993">
        <v>671</v>
      </c>
      <c r="F993">
        <v>88</v>
      </c>
      <c r="G993">
        <v>71.2</v>
      </c>
    </row>
    <row r="994" spans="1:7" x14ac:dyDescent="0.2">
      <c r="A994" t="s">
        <v>338</v>
      </c>
      <c r="B994" t="s">
        <v>648</v>
      </c>
      <c r="C994" t="s">
        <v>144</v>
      </c>
      <c r="D994" t="s">
        <v>384</v>
      </c>
      <c r="E994">
        <v>1869</v>
      </c>
      <c r="F994">
        <v>317</v>
      </c>
      <c r="G994">
        <v>82.3</v>
      </c>
    </row>
    <row r="995" spans="1:7" x14ac:dyDescent="0.2">
      <c r="A995" t="s">
        <v>338</v>
      </c>
      <c r="B995" t="s">
        <v>648</v>
      </c>
      <c r="C995" t="s">
        <v>145</v>
      </c>
      <c r="D995" t="s">
        <v>384</v>
      </c>
      <c r="E995">
        <v>1092</v>
      </c>
      <c r="F995">
        <v>179</v>
      </c>
      <c r="G995">
        <v>92.39</v>
      </c>
    </row>
    <row r="996" spans="1:7" x14ac:dyDescent="0.2">
      <c r="A996" t="s">
        <v>338</v>
      </c>
      <c r="B996" t="s">
        <v>648</v>
      </c>
      <c r="C996" t="s">
        <v>146</v>
      </c>
      <c r="D996" t="s">
        <v>384</v>
      </c>
      <c r="E996">
        <v>1951</v>
      </c>
      <c r="F996">
        <v>463</v>
      </c>
      <c r="G996">
        <v>102.34</v>
      </c>
    </row>
    <row r="997" spans="1:7" x14ac:dyDescent="0.2">
      <c r="A997" t="s">
        <v>338</v>
      </c>
      <c r="B997" t="s">
        <v>648</v>
      </c>
      <c r="C997" t="s">
        <v>147</v>
      </c>
      <c r="D997" t="s">
        <v>384</v>
      </c>
      <c r="E997">
        <v>209</v>
      </c>
      <c r="F997">
        <v>51</v>
      </c>
      <c r="G997">
        <v>114.68</v>
      </c>
    </row>
    <row r="998" spans="1:7" x14ac:dyDescent="0.2">
      <c r="A998" t="s">
        <v>338</v>
      </c>
      <c r="B998" t="s">
        <v>648</v>
      </c>
      <c r="C998" t="s">
        <v>148</v>
      </c>
      <c r="D998" t="s">
        <v>384</v>
      </c>
      <c r="E998">
        <v>695</v>
      </c>
      <c r="F998">
        <v>337</v>
      </c>
      <c r="G998">
        <v>139.02000000000001</v>
      </c>
    </row>
    <row r="999" spans="1:7" x14ac:dyDescent="0.2">
      <c r="A999" t="s">
        <v>338</v>
      </c>
      <c r="B999" t="s">
        <v>648</v>
      </c>
      <c r="C999" t="s">
        <v>149</v>
      </c>
      <c r="D999" t="s">
        <v>384</v>
      </c>
      <c r="E999">
        <v>140</v>
      </c>
      <c r="F999">
        <v>28</v>
      </c>
      <c r="G999">
        <v>90.13</v>
      </c>
    </row>
    <row r="1000" spans="1:7" x14ac:dyDescent="0.2">
      <c r="A1000" t="s">
        <v>338</v>
      </c>
      <c r="B1000" t="s">
        <v>648</v>
      </c>
      <c r="C1000" t="s">
        <v>150</v>
      </c>
      <c r="D1000" t="s">
        <v>384</v>
      </c>
      <c r="E1000">
        <v>1634</v>
      </c>
      <c r="F1000">
        <v>307</v>
      </c>
      <c r="G1000">
        <v>92.59</v>
      </c>
    </row>
    <row r="1001" spans="1:7" x14ac:dyDescent="0.2">
      <c r="A1001" t="s">
        <v>338</v>
      </c>
      <c r="B1001" t="s">
        <v>648</v>
      </c>
      <c r="C1001" t="s">
        <v>360</v>
      </c>
      <c r="D1001" t="s">
        <v>384</v>
      </c>
      <c r="E1001">
        <v>61</v>
      </c>
      <c r="F1001">
        <v>28</v>
      </c>
      <c r="G1001">
        <v>148.61000000000001</v>
      </c>
    </row>
    <row r="1002" spans="1:7" x14ac:dyDescent="0.2">
      <c r="A1002" t="s">
        <v>338</v>
      </c>
      <c r="B1002" t="s">
        <v>648</v>
      </c>
      <c r="C1002" t="s">
        <v>151</v>
      </c>
      <c r="D1002" t="s">
        <v>384</v>
      </c>
      <c r="E1002">
        <v>84</v>
      </c>
      <c r="F1002">
        <v>34</v>
      </c>
      <c r="G1002">
        <v>171.23</v>
      </c>
    </row>
    <row r="1003" spans="1:7" x14ac:dyDescent="0.2">
      <c r="A1003" t="s">
        <v>338</v>
      </c>
      <c r="B1003" t="s">
        <v>648</v>
      </c>
      <c r="C1003" t="s">
        <v>869</v>
      </c>
      <c r="D1003" t="s">
        <v>384</v>
      </c>
      <c r="E1003">
        <v>1</v>
      </c>
      <c r="F1003">
        <v>1</v>
      </c>
      <c r="G1003">
        <v>243</v>
      </c>
    </row>
    <row r="1004" spans="1:7" x14ac:dyDescent="0.2">
      <c r="A1004" t="s">
        <v>338</v>
      </c>
      <c r="B1004" t="s">
        <v>648</v>
      </c>
      <c r="C1004" t="s">
        <v>152</v>
      </c>
      <c r="D1004" t="s">
        <v>384</v>
      </c>
      <c r="E1004">
        <v>1684</v>
      </c>
      <c r="F1004">
        <v>323</v>
      </c>
      <c r="G1004">
        <v>100.7</v>
      </c>
    </row>
    <row r="1005" spans="1:7" x14ac:dyDescent="0.2">
      <c r="A1005" t="s">
        <v>338</v>
      </c>
      <c r="B1005" t="s">
        <v>648</v>
      </c>
      <c r="C1005" t="s">
        <v>153</v>
      </c>
      <c r="D1005" t="s">
        <v>384</v>
      </c>
      <c r="E1005">
        <v>268</v>
      </c>
      <c r="F1005">
        <v>75</v>
      </c>
      <c r="G1005">
        <v>122.8</v>
      </c>
    </row>
    <row r="1006" spans="1:7" x14ac:dyDescent="0.2">
      <c r="A1006" t="s">
        <v>338</v>
      </c>
      <c r="B1006" t="s">
        <v>648</v>
      </c>
      <c r="C1006" t="s">
        <v>78</v>
      </c>
      <c r="D1006" t="s">
        <v>384</v>
      </c>
      <c r="E1006">
        <v>48</v>
      </c>
      <c r="F1006">
        <v>23</v>
      </c>
      <c r="G1006">
        <v>165.25</v>
      </c>
    </row>
    <row r="1007" spans="1:7" x14ac:dyDescent="0.2">
      <c r="A1007" t="s">
        <v>338</v>
      </c>
      <c r="B1007" t="s">
        <v>648</v>
      </c>
      <c r="C1007" t="s">
        <v>154</v>
      </c>
      <c r="D1007" t="s">
        <v>384</v>
      </c>
      <c r="E1007">
        <v>576</v>
      </c>
      <c r="F1007">
        <v>90</v>
      </c>
      <c r="G1007">
        <v>102.34</v>
      </c>
    </row>
    <row r="1008" spans="1:7" x14ac:dyDescent="0.2">
      <c r="A1008" t="s">
        <v>338</v>
      </c>
      <c r="B1008" t="s">
        <v>648</v>
      </c>
      <c r="C1008" t="s">
        <v>155</v>
      </c>
      <c r="D1008" t="s">
        <v>384</v>
      </c>
      <c r="E1008">
        <v>179</v>
      </c>
      <c r="F1008">
        <v>35</v>
      </c>
      <c r="G1008">
        <v>90.65</v>
      </c>
    </row>
    <row r="1009" spans="1:7" x14ac:dyDescent="0.2">
      <c r="A1009" t="s">
        <v>338</v>
      </c>
      <c r="B1009" t="s">
        <v>648</v>
      </c>
      <c r="C1009" t="s">
        <v>156</v>
      </c>
      <c r="D1009" t="s">
        <v>384</v>
      </c>
      <c r="E1009">
        <v>178</v>
      </c>
      <c r="F1009">
        <v>30</v>
      </c>
      <c r="G1009">
        <v>90.54</v>
      </c>
    </row>
    <row r="1010" spans="1:7" x14ac:dyDescent="0.2">
      <c r="A1010" t="s">
        <v>338</v>
      </c>
      <c r="B1010" t="s">
        <v>648</v>
      </c>
      <c r="C1010" t="s">
        <v>361</v>
      </c>
      <c r="D1010" t="s">
        <v>384</v>
      </c>
      <c r="E1010">
        <v>209</v>
      </c>
      <c r="F1010">
        <v>27</v>
      </c>
      <c r="G1010">
        <v>71.72</v>
      </c>
    </row>
    <row r="1011" spans="1:7" x14ac:dyDescent="0.2">
      <c r="A1011" t="s">
        <v>338</v>
      </c>
      <c r="B1011" t="s">
        <v>648</v>
      </c>
      <c r="C1011" t="s">
        <v>157</v>
      </c>
      <c r="D1011" t="s">
        <v>384</v>
      </c>
      <c r="E1011">
        <v>239</v>
      </c>
      <c r="F1011">
        <v>55</v>
      </c>
      <c r="G1011">
        <v>96.21</v>
      </c>
    </row>
    <row r="1012" spans="1:7" x14ac:dyDescent="0.2">
      <c r="A1012" t="s">
        <v>338</v>
      </c>
      <c r="B1012" t="s">
        <v>648</v>
      </c>
      <c r="C1012" t="s">
        <v>158</v>
      </c>
      <c r="D1012" t="s">
        <v>384</v>
      </c>
      <c r="E1012">
        <v>171</v>
      </c>
      <c r="F1012">
        <v>40</v>
      </c>
      <c r="G1012">
        <v>86.38</v>
      </c>
    </row>
    <row r="1013" spans="1:7" x14ac:dyDescent="0.2">
      <c r="A1013" t="s">
        <v>338</v>
      </c>
      <c r="B1013" t="s">
        <v>648</v>
      </c>
      <c r="C1013" t="s">
        <v>159</v>
      </c>
      <c r="D1013" t="s">
        <v>384</v>
      </c>
      <c r="E1013">
        <v>45</v>
      </c>
      <c r="F1013">
        <v>19</v>
      </c>
      <c r="G1013">
        <v>134.91</v>
      </c>
    </row>
    <row r="1014" spans="1:7" x14ac:dyDescent="0.2">
      <c r="A1014" t="s">
        <v>338</v>
      </c>
      <c r="B1014" t="s">
        <v>648</v>
      </c>
      <c r="C1014" t="s">
        <v>160</v>
      </c>
      <c r="D1014" t="s">
        <v>384</v>
      </c>
      <c r="E1014">
        <v>109</v>
      </c>
      <c r="F1014">
        <v>16</v>
      </c>
      <c r="G1014">
        <v>75.650000000000006</v>
      </c>
    </row>
    <row r="1015" spans="1:7" x14ac:dyDescent="0.2">
      <c r="A1015" t="s">
        <v>338</v>
      </c>
      <c r="B1015" t="s">
        <v>650</v>
      </c>
      <c r="C1015" t="s">
        <v>384</v>
      </c>
      <c r="D1015" t="s">
        <v>384</v>
      </c>
      <c r="E1015">
        <v>1696</v>
      </c>
      <c r="F1015">
        <v>247</v>
      </c>
      <c r="G1015">
        <v>107.95</v>
      </c>
    </row>
    <row r="1016" spans="1:7" x14ac:dyDescent="0.2">
      <c r="A1016" t="s">
        <v>338</v>
      </c>
      <c r="B1016" t="s">
        <v>650</v>
      </c>
      <c r="C1016" t="s">
        <v>649</v>
      </c>
      <c r="D1016" t="s">
        <v>384</v>
      </c>
      <c r="E1016">
        <v>16469</v>
      </c>
      <c r="F1016">
        <v>3088</v>
      </c>
      <c r="G1016">
        <v>93.41</v>
      </c>
    </row>
    <row r="1017" spans="1:7" x14ac:dyDescent="0.2">
      <c r="A1017" t="s">
        <v>338</v>
      </c>
      <c r="B1017" t="s">
        <v>650</v>
      </c>
      <c r="C1017" t="s">
        <v>86</v>
      </c>
      <c r="D1017" t="s">
        <v>384</v>
      </c>
      <c r="E1017">
        <v>5134</v>
      </c>
      <c r="F1017">
        <v>1049</v>
      </c>
      <c r="G1017">
        <v>92.24</v>
      </c>
    </row>
    <row r="1018" spans="1:7" x14ac:dyDescent="0.2">
      <c r="A1018" t="s">
        <v>338</v>
      </c>
      <c r="B1018" t="s">
        <v>650</v>
      </c>
      <c r="C1018" t="s">
        <v>130</v>
      </c>
      <c r="D1018" t="s">
        <v>384</v>
      </c>
      <c r="E1018">
        <v>5229</v>
      </c>
      <c r="F1018">
        <v>873</v>
      </c>
      <c r="G1018">
        <v>85.01</v>
      </c>
    </row>
    <row r="1019" spans="1:7" x14ac:dyDescent="0.2">
      <c r="A1019" t="s">
        <v>338</v>
      </c>
      <c r="B1019" t="s">
        <v>650</v>
      </c>
      <c r="C1019" t="s">
        <v>134</v>
      </c>
      <c r="D1019" t="s">
        <v>384</v>
      </c>
      <c r="E1019">
        <v>4410</v>
      </c>
      <c r="F1019">
        <v>919</v>
      </c>
      <c r="G1019">
        <v>99.14</v>
      </c>
    </row>
    <row r="1020" spans="1:7" x14ac:dyDescent="0.2">
      <c r="A1020" t="s">
        <v>338</v>
      </c>
      <c r="B1020" t="s">
        <v>648</v>
      </c>
      <c r="C1020" t="s">
        <v>359</v>
      </c>
      <c r="D1020" t="s">
        <v>384</v>
      </c>
      <c r="E1020">
        <v>9554</v>
      </c>
      <c r="F1020">
        <v>466</v>
      </c>
      <c r="G1020">
        <v>51.51</v>
      </c>
    </row>
    <row r="1021" spans="1:7" x14ac:dyDescent="0.2">
      <c r="A1021" t="s">
        <v>338</v>
      </c>
      <c r="B1021" t="s">
        <v>648</v>
      </c>
      <c r="C1021" t="s">
        <v>386</v>
      </c>
      <c r="D1021" t="s">
        <v>384</v>
      </c>
      <c r="E1021">
        <v>14714</v>
      </c>
      <c r="F1021">
        <v>2914</v>
      </c>
      <c r="G1021">
        <v>95.91</v>
      </c>
    </row>
    <row r="1022" spans="1:7" x14ac:dyDescent="0.2">
      <c r="A1022" t="s">
        <v>338</v>
      </c>
      <c r="B1022" t="s">
        <v>648</v>
      </c>
      <c r="C1022" t="s">
        <v>385</v>
      </c>
      <c r="D1022" t="s">
        <v>384</v>
      </c>
      <c r="E1022">
        <v>16856</v>
      </c>
      <c r="F1022">
        <v>3844</v>
      </c>
      <c r="G1022">
        <v>122.91</v>
      </c>
    </row>
    <row r="1023" spans="1:7" x14ac:dyDescent="0.2">
      <c r="A1023" t="s">
        <v>338</v>
      </c>
      <c r="B1023" t="s">
        <v>648</v>
      </c>
      <c r="C1023" t="s">
        <v>387</v>
      </c>
      <c r="D1023" t="s">
        <v>384</v>
      </c>
      <c r="E1023">
        <v>23489</v>
      </c>
      <c r="F1023">
        <v>4415</v>
      </c>
      <c r="G1023">
        <v>109.07</v>
      </c>
    </row>
    <row r="1024" spans="1:7" x14ac:dyDescent="0.2">
      <c r="A1024" t="s">
        <v>338</v>
      </c>
      <c r="B1024" t="s">
        <v>648</v>
      </c>
      <c r="C1024" t="s">
        <v>388</v>
      </c>
      <c r="D1024" t="s">
        <v>384</v>
      </c>
      <c r="E1024">
        <v>9611</v>
      </c>
      <c r="F1024">
        <v>1998</v>
      </c>
      <c r="G1024">
        <v>104.02</v>
      </c>
    </row>
    <row r="1025" spans="1:6" x14ac:dyDescent="0.2">
      <c r="A1025" t="s">
        <v>339</v>
      </c>
      <c r="B1025" t="s">
        <v>651</v>
      </c>
      <c r="C1025" t="s">
        <v>384</v>
      </c>
      <c r="D1025" t="s">
        <v>384</v>
      </c>
      <c r="E1025">
        <v>716</v>
      </c>
      <c r="F1025">
        <v>233</v>
      </c>
    </row>
    <row r="1026" spans="1:6" x14ac:dyDescent="0.2">
      <c r="A1026" t="s">
        <v>339</v>
      </c>
      <c r="B1026" t="s">
        <v>651</v>
      </c>
      <c r="C1026" t="s">
        <v>649</v>
      </c>
      <c r="D1026" t="s">
        <v>384</v>
      </c>
      <c r="E1026">
        <v>326991</v>
      </c>
      <c r="F1026">
        <v>78034</v>
      </c>
    </row>
    <row r="1027" spans="1:6" x14ac:dyDescent="0.2">
      <c r="A1027" t="s">
        <v>339</v>
      </c>
      <c r="B1027" t="s">
        <v>651</v>
      </c>
      <c r="C1027" t="s">
        <v>109</v>
      </c>
      <c r="D1027" t="s">
        <v>384</v>
      </c>
      <c r="E1027">
        <v>1747</v>
      </c>
      <c r="F1027">
        <v>616</v>
      </c>
    </row>
    <row r="1028" spans="1:6" x14ac:dyDescent="0.2">
      <c r="A1028" t="s">
        <v>339</v>
      </c>
      <c r="B1028" t="s">
        <v>651</v>
      </c>
      <c r="C1028" t="s">
        <v>110</v>
      </c>
      <c r="D1028" t="s">
        <v>384</v>
      </c>
      <c r="E1028">
        <v>2046</v>
      </c>
      <c r="F1028">
        <v>514</v>
      </c>
    </row>
    <row r="1029" spans="1:6" x14ac:dyDescent="0.2">
      <c r="A1029" t="s">
        <v>339</v>
      </c>
      <c r="B1029" t="s">
        <v>651</v>
      </c>
      <c r="C1029" t="s">
        <v>111</v>
      </c>
      <c r="D1029" t="s">
        <v>384</v>
      </c>
      <c r="E1029">
        <v>3364</v>
      </c>
      <c r="F1029">
        <v>1093</v>
      </c>
    </row>
    <row r="1030" spans="1:6" x14ac:dyDescent="0.2">
      <c r="A1030" t="s">
        <v>339</v>
      </c>
      <c r="B1030" t="s">
        <v>651</v>
      </c>
      <c r="C1030" t="s">
        <v>112</v>
      </c>
      <c r="D1030" t="s">
        <v>384</v>
      </c>
      <c r="E1030">
        <v>2540</v>
      </c>
      <c r="F1030">
        <v>695</v>
      </c>
    </row>
    <row r="1031" spans="1:6" x14ac:dyDescent="0.2">
      <c r="A1031" t="s">
        <v>339</v>
      </c>
      <c r="B1031" t="s">
        <v>651</v>
      </c>
      <c r="C1031" t="s">
        <v>113</v>
      </c>
      <c r="D1031" t="s">
        <v>384</v>
      </c>
      <c r="E1031">
        <v>923</v>
      </c>
      <c r="F1031">
        <v>165</v>
      </c>
    </row>
    <row r="1032" spans="1:6" x14ac:dyDescent="0.2">
      <c r="A1032" t="s">
        <v>339</v>
      </c>
      <c r="B1032" t="s">
        <v>651</v>
      </c>
      <c r="C1032" t="s">
        <v>114</v>
      </c>
      <c r="D1032" t="s">
        <v>384</v>
      </c>
      <c r="E1032">
        <v>2319</v>
      </c>
      <c r="F1032">
        <v>618</v>
      </c>
    </row>
    <row r="1033" spans="1:6" x14ac:dyDescent="0.2">
      <c r="A1033" t="s">
        <v>339</v>
      </c>
      <c r="B1033" t="s">
        <v>651</v>
      </c>
      <c r="C1033" t="s">
        <v>86</v>
      </c>
      <c r="D1033" t="s">
        <v>384</v>
      </c>
      <c r="E1033">
        <v>10424</v>
      </c>
      <c r="F1033">
        <v>3389</v>
      </c>
    </row>
    <row r="1034" spans="1:6" x14ac:dyDescent="0.2">
      <c r="A1034" t="s">
        <v>339</v>
      </c>
      <c r="B1034" t="s">
        <v>651</v>
      </c>
      <c r="C1034" t="s">
        <v>115</v>
      </c>
      <c r="D1034" t="s">
        <v>384</v>
      </c>
      <c r="E1034">
        <v>4768</v>
      </c>
      <c r="F1034">
        <v>1202</v>
      </c>
    </row>
    <row r="1035" spans="1:6" x14ac:dyDescent="0.2">
      <c r="A1035" t="s">
        <v>339</v>
      </c>
      <c r="B1035" t="s">
        <v>651</v>
      </c>
      <c r="C1035" t="s">
        <v>116</v>
      </c>
      <c r="D1035" t="s">
        <v>384</v>
      </c>
      <c r="E1035">
        <v>4583</v>
      </c>
      <c r="F1035">
        <v>1170</v>
      </c>
    </row>
    <row r="1036" spans="1:6" x14ac:dyDescent="0.2">
      <c r="A1036" t="s">
        <v>339</v>
      </c>
      <c r="B1036" t="s">
        <v>651</v>
      </c>
      <c r="C1036" t="s">
        <v>89</v>
      </c>
      <c r="D1036" t="s">
        <v>384</v>
      </c>
      <c r="E1036">
        <v>12919</v>
      </c>
      <c r="F1036">
        <v>2690</v>
      </c>
    </row>
    <row r="1037" spans="1:6" x14ac:dyDescent="0.2">
      <c r="A1037" t="s">
        <v>339</v>
      </c>
      <c r="B1037" t="s">
        <v>651</v>
      </c>
      <c r="C1037" t="s">
        <v>117</v>
      </c>
      <c r="D1037" t="s">
        <v>384</v>
      </c>
      <c r="E1037">
        <v>2823</v>
      </c>
      <c r="F1037">
        <v>539</v>
      </c>
    </row>
    <row r="1038" spans="1:6" x14ac:dyDescent="0.2">
      <c r="A1038" t="s">
        <v>339</v>
      </c>
      <c r="B1038" t="s">
        <v>651</v>
      </c>
      <c r="C1038" t="s">
        <v>118</v>
      </c>
      <c r="D1038" t="s">
        <v>384</v>
      </c>
      <c r="E1038">
        <v>17298</v>
      </c>
      <c r="F1038">
        <v>3698</v>
      </c>
    </row>
    <row r="1039" spans="1:6" x14ac:dyDescent="0.2">
      <c r="A1039" t="s">
        <v>339</v>
      </c>
      <c r="B1039" t="s">
        <v>651</v>
      </c>
      <c r="C1039" t="s">
        <v>119</v>
      </c>
      <c r="D1039" t="s">
        <v>384</v>
      </c>
      <c r="E1039">
        <v>18624</v>
      </c>
      <c r="F1039">
        <v>4297</v>
      </c>
    </row>
    <row r="1040" spans="1:6" x14ac:dyDescent="0.2">
      <c r="A1040" t="s">
        <v>339</v>
      </c>
      <c r="B1040" t="s">
        <v>651</v>
      </c>
      <c r="C1040" t="s">
        <v>120</v>
      </c>
      <c r="D1040" t="s">
        <v>384</v>
      </c>
      <c r="E1040">
        <v>15101</v>
      </c>
      <c r="F1040">
        <v>3713</v>
      </c>
    </row>
    <row r="1041" spans="1:6" x14ac:dyDescent="0.2">
      <c r="A1041" t="s">
        <v>339</v>
      </c>
      <c r="B1041" t="s">
        <v>651</v>
      </c>
      <c r="C1041" t="s">
        <v>121</v>
      </c>
      <c r="D1041" t="s">
        <v>384</v>
      </c>
      <c r="E1041">
        <v>8965</v>
      </c>
      <c r="F1041">
        <v>1844</v>
      </c>
    </row>
    <row r="1042" spans="1:6" x14ac:dyDescent="0.2">
      <c r="A1042" t="s">
        <v>339</v>
      </c>
      <c r="B1042" t="s">
        <v>651</v>
      </c>
      <c r="C1042" t="s">
        <v>80</v>
      </c>
      <c r="D1042" t="s">
        <v>384</v>
      </c>
      <c r="E1042">
        <v>8646</v>
      </c>
      <c r="F1042">
        <v>1800</v>
      </c>
    </row>
    <row r="1043" spans="1:6" x14ac:dyDescent="0.2">
      <c r="A1043" t="s">
        <v>339</v>
      </c>
      <c r="B1043" t="s">
        <v>651</v>
      </c>
      <c r="C1043" t="s">
        <v>122</v>
      </c>
      <c r="D1043" t="s">
        <v>384</v>
      </c>
      <c r="E1043">
        <v>4125</v>
      </c>
      <c r="F1043">
        <v>1066</v>
      </c>
    </row>
    <row r="1044" spans="1:6" x14ac:dyDescent="0.2">
      <c r="A1044" t="s">
        <v>339</v>
      </c>
      <c r="B1044" t="s">
        <v>651</v>
      </c>
      <c r="C1044" t="s">
        <v>123</v>
      </c>
      <c r="D1044" t="s">
        <v>384</v>
      </c>
      <c r="E1044">
        <v>6473</v>
      </c>
      <c r="F1044">
        <v>1400</v>
      </c>
    </row>
    <row r="1045" spans="1:6" x14ac:dyDescent="0.2">
      <c r="A1045" t="s">
        <v>339</v>
      </c>
      <c r="B1045" t="s">
        <v>651</v>
      </c>
      <c r="C1045" t="s">
        <v>124</v>
      </c>
      <c r="D1045" t="s">
        <v>384</v>
      </c>
      <c r="E1045">
        <v>4831</v>
      </c>
      <c r="F1045">
        <v>1425</v>
      </c>
    </row>
    <row r="1046" spans="1:6" x14ac:dyDescent="0.2">
      <c r="A1046" t="s">
        <v>339</v>
      </c>
      <c r="B1046" t="s">
        <v>651</v>
      </c>
      <c r="C1046" t="s">
        <v>125</v>
      </c>
      <c r="D1046" t="s">
        <v>384</v>
      </c>
      <c r="E1046">
        <v>11830</v>
      </c>
      <c r="F1046">
        <v>2354</v>
      </c>
    </row>
    <row r="1047" spans="1:6" x14ac:dyDescent="0.2">
      <c r="A1047" t="s">
        <v>339</v>
      </c>
      <c r="B1047" t="s">
        <v>651</v>
      </c>
      <c r="C1047" t="s">
        <v>126</v>
      </c>
      <c r="D1047" t="s">
        <v>384</v>
      </c>
      <c r="E1047">
        <v>5495</v>
      </c>
      <c r="F1047">
        <v>1250</v>
      </c>
    </row>
    <row r="1048" spans="1:6" x14ac:dyDescent="0.2">
      <c r="A1048" t="s">
        <v>339</v>
      </c>
      <c r="B1048" t="s">
        <v>651</v>
      </c>
      <c r="C1048" t="s">
        <v>127</v>
      </c>
      <c r="D1048" t="s">
        <v>384</v>
      </c>
      <c r="E1048">
        <v>3990</v>
      </c>
      <c r="F1048">
        <v>1060</v>
      </c>
    </row>
    <row r="1049" spans="1:6" x14ac:dyDescent="0.2">
      <c r="A1049" t="s">
        <v>339</v>
      </c>
      <c r="B1049" t="s">
        <v>651</v>
      </c>
      <c r="C1049" t="s">
        <v>128</v>
      </c>
      <c r="D1049" t="s">
        <v>384</v>
      </c>
      <c r="E1049">
        <v>5786</v>
      </c>
      <c r="F1049">
        <v>1720</v>
      </c>
    </row>
    <row r="1050" spans="1:6" x14ac:dyDescent="0.2">
      <c r="A1050" t="s">
        <v>339</v>
      </c>
      <c r="B1050" t="s">
        <v>651</v>
      </c>
      <c r="C1050" t="s">
        <v>129</v>
      </c>
      <c r="D1050" t="s">
        <v>384</v>
      </c>
      <c r="E1050">
        <v>6312</v>
      </c>
      <c r="F1050">
        <v>1502</v>
      </c>
    </row>
    <row r="1051" spans="1:6" x14ac:dyDescent="0.2">
      <c r="A1051" t="s">
        <v>339</v>
      </c>
      <c r="B1051" t="s">
        <v>651</v>
      </c>
      <c r="C1051" t="s">
        <v>130</v>
      </c>
      <c r="D1051" t="s">
        <v>384</v>
      </c>
      <c r="E1051">
        <v>12950</v>
      </c>
      <c r="F1051">
        <v>2644</v>
      </c>
    </row>
    <row r="1052" spans="1:6" x14ac:dyDescent="0.2">
      <c r="A1052" t="s">
        <v>339</v>
      </c>
      <c r="B1052" t="s">
        <v>651</v>
      </c>
      <c r="C1052" t="s">
        <v>131</v>
      </c>
      <c r="D1052" t="s">
        <v>384</v>
      </c>
      <c r="E1052">
        <v>4664</v>
      </c>
      <c r="F1052">
        <v>1232</v>
      </c>
    </row>
    <row r="1053" spans="1:6" x14ac:dyDescent="0.2">
      <c r="A1053" t="s">
        <v>339</v>
      </c>
      <c r="B1053" t="s">
        <v>651</v>
      </c>
      <c r="C1053" t="s">
        <v>132</v>
      </c>
      <c r="D1053" t="s">
        <v>384</v>
      </c>
      <c r="E1053">
        <v>970</v>
      </c>
      <c r="F1053">
        <v>304</v>
      </c>
    </row>
    <row r="1054" spans="1:6" x14ac:dyDescent="0.2">
      <c r="A1054" t="s">
        <v>339</v>
      </c>
      <c r="B1054" t="s">
        <v>651</v>
      </c>
      <c r="C1054" t="s">
        <v>133</v>
      </c>
      <c r="D1054" t="s">
        <v>384</v>
      </c>
      <c r="E1054">
        <v>3261</v>
      </c>
      <c r="F1054">
        <v>548</v>
      </c>
    </row>
    <row r="1055" spans="1:6" x14ac:dyDescent="0.2">
      <c r="A1055" t="s">
        <v>339</v>
      </c>
      <c r="B1055" t="s">
        <v>651</v>
      </c>
      <c r="C1055" t="s">
        <v>134</v>
      </c>
      <c r="D1055" t="s">
        <v>384</v>
      </c>
      <c r="E1055">
        <v>12997</v>
      </c>
      <c r="F1055">
        <v>3154</v>
      </c>
    </row>
    <row r="1056" spans="1:6" x14ac:dyDescent="0.2">
      <c r="A1056" t="s">
        <v>339</v>
      </c>
      <c r="B1056" t="s">
        <v>651</v>
      </c>
      <c r="C1056" t="s">
        <v>135</v>
      </c>
      <c r="D1056" t="s">
        <v>384</v>
      </c>
      <c r="E1056">
        <v>4482</v>
      </c>
      <c r="F1056">
        <v>1394</v>
      </c>
    </row>
    <row r="1057" spans="1:6" x14ac:dyDescent="0.2">
      <c r="A1057" t="s">
        <v>339</v>
      </c>
      <c r="B1057" t="s">
        <v>651</v>
      </c>
      <c r="C1057" t="s">
        <v>136</v>
      </c>
      <c r="D1057" t="s">
        <v>384</v>
      </c>
      <c r="E1057">
        <v>2570</v>
      </c>
      <c r="F1057">
        <v>769</v>
      </c>
    </row>
    <row r="1058" spans="1:6" x14ac:dyDescent="0.2">
      <c r="A1058" t="s">
        <v>339</v>
      </c>
      <c r="B1058" t="s">
        <v>651</v>
      </c>
      <c r="C1058" t="s">
        <v>137</v>
      </c>
      <c r="D1058" t="s">
        <v>384</v>
      </c>
      <c r="E1058">
        <v>3803</v>
      </c>
      <c r="F1058">
        <v>764</v>
      </c>
    </row>
    <row r="1059" spans="1:6" x14ac:dyDescent="0.2">
      <c r="A1059" t="s">
        <v>339</v>
      </c>
      <c r="B1059" t="s">
        <v>651</v>
      </c>
      <c r="C1059" t="s">
        <v>138</v>
      </c>
      <c r="D1059" t="s">
        <v>384</v>
      </c>
      <c r="E1059">
        <v>7577</v>
      </c>
      <c r="F1059">
        <v>2404</v>
      </c>
    </row>
    <row r="1060" spans="1:6" x14ac:dyDescent="0.2">
      <c r="A1060" t="s">
        <v>339</v>
      </c>
      <c r="B1060" t="s">
        <v>651</v>
      </c>
      <c r="C1060" t="s">
        <v>139</v>
      </c>
      <c r="D1060" t="s">
        <v>384</v>
      </c>
      <c r="E1060">
        <v>6769</v>
      </c>
      <c r="F1060">
        <v>2004</v>
      </c>
    </row>
    <row r="1061" spans="1:6" x14ac:dyDescent="0.2">
      <c r="A1061" t="s">
        <v>339</v>
      </c>
      <c r="B1061" t="s">
        <v>651</v>
      </c>
      <c r="C1061" t="s">
        <v>140</v>
      </c>
      <c r="D1061" t="s">
        <v>384</v>
      </c>
      <c r="E1061">
        <v>4524</v>
      </c>
      <c r="F1061">
        <v>1341</v>
      </c>
    </row>
    <row r="1062" spans="1:6" x14ac:dyDescent="0.2">
      <c r="A1062" t="s">
        <v>339</v>
      </c>
      <c r="B1062" t="s">
        <v>651</v>
      </c>
      <c r="C1062" t="s">
        <v>141</v>
      </c>
      <c r="D1062" t="s">
        <v>384</v>
      </c>
      <c r="E1062">
        <v>10008</v>
      </c>
      <c r="F1062">
        <v>2006</v>
      </c>
    </row>
    <row r="1063" spans="1:6" x14ac:dyDescent="0.2">
      <c r="A1063" t="s">
        <v>339</v>
      </c>
      <c r="B1063" t="s">
        <v>651</v>
      </c>
      <c r="C1063" t="s">
        <v>142</v>
      </c>
      <c r="D1063" t="s">
        <v>384</v>
      </c>
      <c r="E1063">
        <v>1623</v>
      </c>
      <c r="F1063">
        <v>399</v>
      </c>
    </row>
    <row r="1064" spans="1:6" x14ac:dyDescent="0.2">
      <c r="A1064" t="s">
        <v>339</v>
      </c>
      <c r="B1064" t="s">
        <v>651</v>
      </c>
      <c r="C1064" t="s">
        <v>143</v>
      </c>
      <c r="D1064" t="s">
        <v>384</v>
      </c>
      <c r="E1064">
        <v>5479</v>
      </c>
      <c r="F1064">
        <v>1009</v>
      </c>
    </row>
    <row r="1065" spans="1:6" x14ac:dyDescent="0.2">
      <c r="A1065" t="s">
        <v>339</v>
      </c>
      <c r="B1065" t="s">
        <v>651</v>
      </c>
      <c r="C1065" t="s">
        <v>144</v>
      </c>
      <c r="D1065" t="s">
        <v>384</v>
      </c>
      <c r="E1065">
        <v>20305</v>
      </c>
      <c r="F1065">
        <v>3461</v>
      </c>
    </row>
    <row r="1066" spans="1:6" x14ac:dyDescent="0.2">
      <c r="A1066" t="s">
        <v>339</v>
      </c>
      <c r="B1066" t="s">
        <v>651</v>
      </c>
      <c r="C1066" t="s">
        <v>145</v>
      </c>
      <c r="D1066" t="s">
        <v>384</v>
      </c>
      <c r="E1066">
        <v>3246</v>
      </c>
      <c r="F1066">
        <v>790</v>
      </c>
    </row>
    <row r="1067" spans="1:6" x14ac:dyDescent="0.2">
      <c r="A1067" t="s">
        <v>339</v>
      </c>
      <c r="B1067" t="s">
        <v>651</v>
      </c>
      <c r="C1067" t="s">
        <v>146</v>
      </c>
      <c r="D1067" t="s">
        <v>384</v>
      </c>
      <c r="E1067">
        <v>7607</v>
      </c>
      <c r="F1067">
        <v>1679</v>
      </c>
    </row>
    <row r="1068" spans="1:6" x14ac:dyDescent="0.2">
      <c r="A1068" t="s">
        <v>339</v>
      </c>
      <c r="B1068" t="s">
        <v>651</v>
      </c>
      <c r="C1068" t="s">
        <v>147</v>
      </c>
      <c r="D1068" t="s">
        <v>384</v>
      </c>
      <c r="E1068">
        <v>2810</v>
      </c>
      <c r="F1068">
        <v>1053</v>
      </c>
    </row>
    <row r="1069" spans="1:6" x14ac:dyDescent="0.2">
      <c r="A1069" t="s">
        <v>339</v>
      </c>
      <c r="B1069" t="s">
        <v>651</v>
      </c>
      <c r="C1069" t="s">
        <v>148</v>
      </c>
      <c r="D1069" t="s">
        <v>384</v>
      </c>
      <c r="E1069">
        <v>3617</v>
      </c>
      <c r="F1069">
        <v>1340</v>
      </c>
    </row>
    <row r="1070" spans="1:6" x14ac:dyDescent="0.2">
      <c r="A1070" t="s">
        <v>339</v>
      </c>
      <c r="B1070" t="s">
        <v>651</v>
      </c>
      <c r="C1070" t="s">
        <v>149</v>
      </c>
      <c r="D1070" t="s">
        <v>384</v>
      </c>
      <c r="E1070">
        <v>429</v>
      </c>
      <c r="F1070">
        <v>139</v>
      </c>
    </row>
    <row r="1071" spans="1:6" x14ac:dyDescent="0.2">
      <c r="A1071" t="s">
        <v>339</v>
      </c>
      <c r="B1071" t="s">
        <v>651</v>
      </c>
      <c r="C1071" t="s">
        <v>150</v>
      </c>
      <c r="D1071" t="s">
        <v>384</v>
      </c>
      <c r="E1071">
        <v>15618</v>
      </c>
      <c r="F1071">
        <v>3535</v>
      </c>
    </row>
    <row r="1072" spans="1:6" x14ac:dyDescent="0.2">
      <c r="A1072" t="s">
        <v>339</v>
      </c>
      <c r="B1072" t="s">
        <v>651</v>
      </c>
      <c r="C1072" t="s">
        <v>360</v>
      </c>
      <c r="D1072" t="s">
        <v>384</v>
      </c>
      <c r="E1072">
        <v>306</v>
      </c>
      <c r="F1072">
        <v>150</v>
      </c>
    </row>
    <row r="1073" spans="1:6" x14ac:dyDescent="0.2">
      <c r="A1073" t="s">
        <v>339</v>
      </c>
      <c r="B1073" t="s">
        <v>651</v>
      </c>
      <c r="C1073" t="s">
        <v>151</v>
      </c>
      <c r="D1073" t="s">
        <v>384</v>
      </c>
      <c r="E1073">
        <v>686</v>
      </c>
      <c r="F1073">
        <v>249</v>
      </c>
    </row>
    <row r="1074" spans="1:6" x14ac:dyDescent="0.2">
      <c r="A1074" t="s">
        <v>339</v>
      </c>
      <c r="B1074" t="s">
        <v>651</v>
      </c>
      <c r="C1074" t="s">
        <v>152</v>
      </c>
      <c r="D1074" t="s">
        <v>384</v>
      </c>
      <c r="E1074">
        <v>12433</v>
      </c>
      <c r="F1074">
        <v>2702</v>
      </c>
    </row>
    <row r="1075" spans="1:6" x14ac:dyDescent="0.2">
      <c r="A1075" t="s">
        <v>339</v>
      </c>
      <c r="B1075" t="s">
        <v>651</v>
      </c>
      <c r="C1075" t="s">
        <v>153</v>
      </c>
      <c r="D1075" t="s">
        <v>384</v>
      </c>
      <c r="E1075">
        <v>1238</v>
      </c>
      <c r="F1075">
        <v>294</v>
      </c>
    </row>
    <row r="1076" spans="1:6" x14ac:dyDescent="0.2">
      <c r="A1076" t="s">
        <v>339</v>
      </c>
      <c r="B1076" t="s">
        <v>651</v>
      </c>
      <c r="C1076" t="s">
        <v>78</v>
      </c>
      <c r="D1076" t="s">
        <v>384</v>
      </c>
      <c r="E1076">
        <v>257</v>
      </c>
      <c r="F1076">
        <v>130</v>
      </c>
    </row>
    <row r="1077" spans="1:6" x14ac:dyDescent="0.2">
      <c r="A1077" t="s">
        <v>339</v>
      </c>
      <c r="B1077" t="s">
        <v>651</v>
      </c>
      <c r="C1077" t="s">
        <v>154</v>
      </c>
      <c r="D1077" t="s">
        <v>384</v>
      </c>
      <c r="E1077">
        <v>1064</v>
      </c>
      <c r="F1077">
        <v>170</v>
      </c>
    </row>
    <row r="1078" spans="1:6" x14ac:dyDescent="0.2">
      <c r="A1078" t="s">
        <v>339</v>
      </c>
      <c r="B1078" t="s">
        <v>651</v>
      </c>
      <c r="C1078" t="s">
        <v>155</v>
      </c>
      <c r="D1078" t="s">
        <v>384</v>
      </c>
      <c r="E1078">
        <v>1217</v>
      </c>
      <c r="F1078">
        <v>297</v>
      </c>
    </row>
    <row r="1079" spans="1:6" x14ac:dyDescent="0.2">
      <c r="A1079" t="s">
        <v>339</v>
      </c>
      <c r="B1079" t="s">
        <v>651</v>
      </c>
      <c r="C1079" t="s">
        <v>156</v>
      </c>
      <c r="D1079" t="s">
        <v>384</v>
      </c>
      <c r="E1079">
        <v>1716</v>
      </c>
      <c r="F1079">
        <v>330</v>
      </c>
    </row>
    <row r="1080" spans="1:6" x14ac:dyDescent="0.2">
      <c r="A1080" t="s">
        <v>339</v>
      </c>
      <c r="B1080" t="s">
        <v>651</v>
      </c>
      <c r="C1080" t="s">
        <v>361</v>
      </c>
      <c r="D1080" t="s">
        <v>384</v>
      </c>
      <c r="E1080">
        <v>1102</v>
      </c>
      <c r="F1080">
        <v>209</v>
      </c>
    </row>
    <row r="1081" spans="1:6" x14ac:dyDescent="0.2">
      <c r="A1081" t="s">
        <v>339</v>
      </c>
      <c r="B1081" t="s">
        <v>651</v>
      </c>
      <c r="C1081" t="s">
        <v>157</v>
      </c>
      <c r="D1081" t="s">
        <v>384</v>
      </c>
      <c r="E1081">
        <v>1728</v>
      </c>
      <c r="F1081">
        <v>578</v>
      </c>
    </row>
    <row r="1082" spans="1:6" x14ac:dyDescent="0.2">
      <c r="A1082" t="s">
        <v>339</v>
      </c>
      <c r="B1082" t="s">
        <v>651</v>
      </c>
      <c r="C1082" t="s">
        <v>158</v>
      </c>
      <c r="D1082" t="s">
        <v>384</v>
      </c>
      <c r="E1082">
        <v>1783</v>
      </c>
      <c r="F1082">
        <v>442</v>
      </c>
    </row>
    <row r="1083" spans="1:6" x14ac:dyDescent="0.2">
      <c r="A1083" t="s">
        <v>339</v>
      </c>
      <c r="B1083" t="s">
        <v>651</v>
      </c>
      <c r="C1083" t="s">
        <v>159</v>
      </c>
      <c r="D1083" t="s">
        <v>384</v>
      </c>
      <c r="E1083">
        <v>526</v>
      </c>
      <c r="F1083">
        <v>210</v>
      </c>
    </row>
    <row r="1084" spans="1:6" x14ac:dyDescent="0.2">
      <c r="A1084" t="s">
        <v>339</v>
      </c>
      <c r="B1084" t="s">
        <v>651</v>
      </c>
      <c r="C1084" t="s">
        <v>160</v>
      </c>
      <c r="D1084" t="s">
        <v>384</v>
      </c>
      <c r="E1084">
        <v>978</v>
      </c>
      <c r="F1084">
        <v>251</v>
      </c>
    </row>
    <row r="1085" spans="1:6" x14ac:dyDescent="0.2">
      <c r="A1085" t="s">
        <v>339</v>
      </c>
      <c r="B1085" t="s">
        <v>652</v>
      </c>
      <c r="C1085" t="s">
        <v>384</v>
      </c>
      <c r="D1085" t="s">
        <v>384</v>
      </c>
      <c r="E1085">
        <v>111457</v>
      </c>
      <c r="F1085">
        <v>635</v>
      </c>
    </row>
    <row r="1086" spans="1:6" x14ac:dyDescent="0.2">
      <c r="A1086" t="s">
        <v>339</v>
      </c>
      <c r="B1086" t="s">
        <v>652</v>
      </c>
      <c r="C1086" t="s">
        <v>649</v>
      </c>
      <c r="D1086" t="s">
        <v>384</v>
      </c>
      <c r="E1086">
        <v>308985</v>
      </c>
      <c r="F1086">
        <v>57302</v>
      </c>
    </row>
    <row r="1087" spans="1:6" x14ac:dyDescent="0.2">
      <c r="A1087" t="s">
        <v>339</v>
      </c>
      <c r="B1087" t="s">
        <v>652</v>
      </c>
      <c r="C1087" t="s">
        <v>109</v>
      </c>
      <c r="D1087" t="s">
        <v>384</v>
      </c>
      <c r="E1087">
        <v>869</v>
      </c>
      <c r="F1087">
        <v>440</v>
      </c>
    </row>
    <row r="1088" spans="1:6" x14ac:dyDescent="0.2">
      <c r="A1088" t="s">
        <v>339</v>
      </c>
      <c r="B1088" t="s">
        <v>652</v>
      </c>
      <c r="C1088" t="s">
        <v>110</v>
      </c>
      <c r="D1088" t="s">
        <v>384</v>
      </c>
      <c r="E1088">
        <v>2948</v>
      </c>
      <c r="F1088">
        <v>693</v>
      </c>
    </row>
    <row r="1089" spans="1:6" x14ac:dyDescent="0.2">
      <c r="A1089" t="s">
        <v>339</v>
      </c>
      <c r="B1089" t="s">
        <v>652</v>
      </c>
      <c r="C1089" t="s">
        <v>111</v>
      </c>
      <c r="D1089" t="s">
        <v>384</v>
      </c>
      <c r="E1089">
        <v>1233</v>
      </c>
      <c r="F1089">
        <v>554</v>
      </c>
    </row>
    <row r="1090" spans="1:6" x14ac:dyDescent="0.2">
      <c r="A1090" t="s">
        <v>339</v>
      </c>
      <c r="B1090" t="s">
        <v>652</v>
      </c>
      <c r="C1090" t="s">
        <v>112</v>
      </c>
      <c r="D1090" t="s">
        <v>384</v>
      </c>
      <c r="E1090">
        <v>1271</v>
      </c>
      <c r="F1090">
        <v>626</v>
      </c>
    </row>
    <row r="1091" spans="1:6" x14ac:dyDescent="0.2">
      <c r="A1091" t="s">
        <v>339</v>
      </c>
      <c r="B1091" t="s">
        <v>652</v>
      </c>
      <c r="C1091" t="s">
        <v>113</v>
      </c>
      <c r="D1091" t="s">
        <v>384</v>
      </c>
      <c r="E1091">
        <v>1024</v>
      </c>
      <c r="F1091">
        <v>603</v>
      </c>
    </row>
    <row r="1092" spans="1:6" x14ac:dyDescent="0.2">
      <c r="A1092" t="s">
        <v>339</v>
      </c>
      <c r="B1092" t="s">
        <v>652</v>
      </c>
      <c r="C1092" t="s">
        <v>114</v>
      </c>
      <c r="D1092" t="s">
        <v>384</v>
      </c>
      <c r="E1092">
        <v>686</v>
      </c>
      <c r="F1092">
        <v>303</v>
      </c>
    </row>
    <row r="1093" spans="1:6" x14ac:dyDescent="0.2">
      <c r="A1093" t="s">
        <v>339</v>
      </c>
      <c r="B1093" t="s">
        <v>652</v>
      </c>
      <c r="C1093" t="s">
        <v>86</v>
      </c>
      <c r="D1093" t="s">
        <v>384</v>
      </c>
      <c r="E1093">
        <v>17351</v>
      </c>
      <c r="F1093">
        <v>3069</v>
      </c>
    </row>
    <row r="1094" spans="1:6" x14ac:dyDescent="0.2">
      <c r="A1094" t="s">
        <v>339</v>
      </c>
      <c r="B1094" t="s">
        <v>652</v>
      </c>
      <c r="C1094" t="s">
        <v>115</v>
      </c>
      <c r="D1094" t="s">
        <v>384</v>
      </c>
      <c r="E1094">
        <v>1621</v>
      </c>
      <c r="F1094">
        <v>532</v>
      </c>
    </row>
    <row r="1095" spans="1:6" x14ac:dyDescent="0.2">
      <c r="A1095" t="s">
        <v>339</v>
      </c>
      <c r="B1095" t="s">
        <v>652</v>
      </c>
      <c r="C1095" t="s">
        <v>116</v>
      </c>
      <c r="D1095" t="s">
        <v>384</v>
      </c>
      <c r="E1095">
        <v>1129</v>
      </c>
      <c r="F1095">
        <v>559</v>
      </c>
    </row>
    <row r="1096" spans="1:6" x14ac:dyDescent="0.2">
      <c r="A1096" t="s">
        <v>339</v>
      </c>
      <c r="B1096" t="s">
        <v>652</v>
      </c>
      <c r="C1096" t="s">
        <v>89</v>
      </c>
      <c r="D1096" t="s">
        <v>384</v>
      </c>
      <c r="E1096">
        <v>3625</v>
      </c>
      <c r="F1096">
        <v>1165</v>
      </c>
    </row>
    <row r="1097" spans="1:6" x14ac:dyDescent="0.2">
      <c r="A1097" t="s">
        <v>339</v>
      </c>
      <c r="B1097" t="s">
        <v>652</v>
      </c>
      <c r="C1097" t="s">
        <v>117</v>
      </c>
      <c r="D1097" t="s">
        <v>384</v>
      </c>
      <c r="E1097">
        <v>1272</v>
      </c>
      <c r="F1097">
        <v>589</v>
      </c>
    </row>
    <row r="1098" spans="1:6" x14ac:dyDescent="0.2">
      <c r="A1098" t="s">
        <v>339</v>
      </c>
      <c r="B1098" t="s">
        <v>652</v>
      </c>
      <c r="C1098" t="s">
        <v>118</v>
      </c>
      <c r="D1098" t="s">
        <v>384</v>
      </c>
      <c r="E1098">
        <v>4813</v>
      </c>
      <c r="F1098">
        <v>1855</v>
      </c>
    </row>
    <row r="1099" spans="1:6" x14ac:dyDescent="0.2">
      <c r="A1099" t="s">
        <v>339</v>
      </c>
      <c r="B1099" t="s">
        <v>652</v>
      </c>
      <c r="C1099" t="s">
        <v>119</v>
      </c>
      <c r="D1099" t="s">
        <v>384</v>
      </c>
      <c r="E1099">
        <v>5617</v>
      </c>
      <c r="F1099">
        <v>2458</v>
      </c>
    </row>
    <row r="1100" spans="1:6" x14ac:dyDescent="0.2">
      <c r="A1100" t="s">
        <v>339</v>
      </c>
      <c r="B1100" t="s">
        <v>652</v>
      </c>
      <c r="C1100" t="s">
        <v>120</v>
      </c>
      <c r="D1100" t="s">
        <v>384</v>
      </c>
      <c r="E1100">
        <v>8125</v>
      </c>
      <c r="F1100">
        <v>1857</v>
      </c>
    </row>
    <row r="1101" spans="1:6" x14ac:dyDescent="0.2">
      <c r="A1101" t="s">
        <v>339</v>
      </c>
      <c r="B1101" t="s">
        <v>652</v>
      </c>
      <c r="C1101" t="s">
        <v>121</v>
      </c>
      <c r="D1101" t="s">
        <v>384</v>
      </c>
      <c r="E1101">
        <v>5692</v>
      </c>
      <c r="F1101">
        <v>1281</v>
      </c>
    </row>
    <row r="1102" spans="1:6" x14ac:dyDescent="0.2">
      <c r="A1102" t="s">
        <v>339</v>
      </c>
      <c r="B1102" t="s">
        <v>652</v>
      </c>
      <c r="C1102" t="s">
        <v>80</v>
      </c>
      <c r="D1102" t="s">
        <v>384</v>
      </c>
      <c r="E1102">
        <v>7371</v>
      </c>
      <c r="F1102">
        <v>1458</v>
      </c>
    </row>
    <row r="1103" spans="1:6" x14ac:dyDescent="0.2">
      <c r="A1103" t="s">
        <v>339</v>
      </c>
      <c r="B1103" t="s">
        <v>652</v>
      </c>
      <c r="C1103" t="s">
        <v>122</v>
      </c>
      <c r="D1103" t="s">
        <v>384</v>
      </c>
      <c r="E1103">
        <v>1331</v>
      </c>
      <c r="F1103">
        <v>586</v>
      </c>
    </row>
    <row r="1104" spans="1:6" x14ac:dyDescent="0.2">
      <c r="A1104" t="s">
        <v>339</v>
      </c>
      <c r="B1104" t="s">
        <v>652</v>
      </c>
      <c r="C1104" t="s">
        <v>123</v>
      </c>
      <c r="D1104" t="s">
        <v>384</v>
      </c>
      <c r="E1104">
        <v>2321</v>
      </c>
      <c r="F1104">
        <v>807</v>
      </c>
    </row>
    <row r="1105" spans="1:6" x14ac:dyDescent="0.2">
      <c r="A1105" t="s">
        <v>339</v>
      </c>
      <c r="B1105" t="s">
        <v>652</v>
      </c>
      <c r="C1105" t="s">
        <v>124</v>
      </c>
      <c r="D1105" t="s">
        <v>384</v>
      </c>
      <c r="E1105">
        <v>1559</v>
      </c>
      <c r="F1105">
        <v>690</v>
      </c>
    </row>
    <row r="1106" spans="1:6" x14ac:dyDescent="0.2">
      <c r="A1106" t="s">
        <v>339</v>
      </c>
      <c r="B1106" t="s">
        <v>652</v>
      </c>
      <c r="C1106" t="s">
        <v>125</v>
      </c>
      <c r="D1106" t="s">
        <v>384</v>
      </c>
      <c r="E1106">
        <v>3209</v>
      </c>
      <c r="F1106">
        <v>971</v>
      </c>
    </row>
    <row r="1107" spans="1:6" x14ac:dyDescent="0.2">
      <c r="A1107" t="s">
        <v>339</v>
      </c>
      <c r="B1107" t="s">
        <v>652</v>
      </c>
      <c r="C1107" t="s">
        <v>126</v>
      </c>
      <c r="D1107" t="s">
        <v>384</v>
      </c>
      <c r="E1107">
        <v>4248</v>
      </c>
      <c r="F1107">
        <v>1651</v>
      </c>
    </row>
    <row r="1108" spans="1:6" x14ac:dyDescent="0.2">
      <c r="A1108" t="s">
        <v>339</v>
      </c>
      <c r="B1108" t="s">
        <v>652</v>
      </c>
      <c r="C1108" t="s">
        <v>127</v>
      </c>
      <c r="D1108" t="s">
        <v>384</v>
      </c>
      <c r="E1108">
        <v>3050</v>
      </c>
      <c r="F1108">
        <v>1531</v>
      </c>
    </row>
    <row r="1109" spans="1:6" x14ac:dyDescent="0.2">
      <c r="A1109" t="s">
        <v>339</v>
      </c>
      <c r="B1109" t="s">
        <v>652</v>
      </c>
      <c r="C1109" t="s">
        <v>128</v>
      </c>
      <c r="D1109" t="s">
        <v>384</v>
      </c>
      <c r="E1109">
        <v>1423</v>
      </c>
      <c r="F1109">
        <v>598</v>
      </c>
    </row>
    <row r="1110" spans="1:6" x14ac:dyDescent="0.2">
      <c r="A1110" t="s">
        <v>339</v>
      </c>
      <c r="B1110" t="s">
        <v>652</v>
      </c>
      <c r="C1110" t="s">
        <v>129</v>
      </c>
      <c r="D1110" t="s">
        <v>384</v>
      </c>
      <c r="E1110">
        <v>4575</v>
      </c>
      <c r="F1110">
        <v>1128</v>
      </c>
    </row>
    <row r="1111" spans="1:6" x14ac:dyDescent="0.2">
      <c r="A1111" t="s">
        <v>339</v>
      </c>
      <c r="B1111" t="s">
        <v>652</v>
      </c>
      <c r="C1111" t="s">
        <v>130</v>
      </c>
      <c r="D1111" t="s">
        <v>384</v>
      </c>
      <c r="E1111">
        <v>20579</v>
      </c>
      <c r="F1111">
        <v>3372</v>
      </c>
    </row>
    <row r="1112" spans="1:6" x14ac:dyDescent="0.2">
      <c r="A1112" t="s">
        <v>339</v>
      </c>
      <c r="B1112" t="s">
        <v>652</v>
      </c>
      <c r="C1112" t="s">
        <v>131</v>
      </c>
      <c r="D1112" t="s">
        <v>384</v>
      </c>
      <c r="E1112">
        <v>2558</v>
      </c>
      <c r="F1112">
        <v>1115</v>
      </c>
    </row>
    <row r="1113" spans="1:6" x14ac:dyDescent="0.2">
      <c r="A1113" t="s">
        <v>339</v>
      </c>
      <c r="B1113" t="s">
        <v>652</v>
      </c>
      <c r="C1113" t="s">
        <v>132</v>
      </c>
      <c r="D1113" t="s">
        <v>384</v>
      </c>
      <c r="E1113">
        <v>827</v>
      </c>
      <c r="F1113">
        <v>429</v>
      </c>
    </row>
    <row r="1114" spans="1:6" x14ac:dyDescent="0.2">
      <c r="A1114" t="s">
        <v>339</v>
      </c>
      <c r="B1114" t="s">
        <v>652</v>
      </c>
      <c r="C1114" t="s">
        <v>133</v>
      </c>
      <c r="D1114" t="s">
        <v>384</v>
      </c>
      <c r="E1114">
        <v>2754</v>
      </c>
      <c r="F1114">
        <v>1076</v>
      </c>
    </row>
    <row r="1115" spans="1:6" x14ac:dyDescent="0.2">
      <c r="A1115" t="s">
        <v>339</v>
      </c>
      <c r="B1115" t="s">
        <v>652</v>
      </c>
      <c r="C1115" t="s">
        <v>134</v>
      </c>
      <c r="D1115" t="s">
        <v>384</v>
      </c>
      <c r="E1115">
        <v>20720</v>
      </c>
      <c r="F1115">
        <v>3397</v>
      </c>
    </row>
    <row r="1116" spans="1:6" x14ac:dyDescent="0.2">
      <c r="A1116" t="s">
        <v>339</v>
      </c>
      <c r="B1116" t="s">
        <v>652</v>
      </c>
      <c r="C1116" t="s">
        <v>135</v>
      </c>
      <c r="D1116" t="s">
        <v>384</v>
      </c>
      <c r="E1116">
        <v>1756</v>
      </c>
      <c r="F1116">
        <v>820</v>
      </c>
    </row>
    <row r="1117" spans="1:6" x14ac:dyDescent="0.2">
      <c r="A1117" t="s">
        <v>339</v>
      </c>
      <c r="B1117" t="s">
        <v>652</v>
      </c>
      <c r="C1117" t="s">
        <v>136</v>
      </c>
      <c r="D1117" t="s">
        <v>384</v>
      </c>
      <c r="E1117">
        <v>1045</v>
      </c>
      <c r="F1117">
        <v>497</v>
      </c>
    </row>
    <row r="1118" spans="1:6" x14ac:dyDescent="0.2">
      <c r="A1118" t="s">
        <v>339</v>
      </c>
      <c r="B1118" t="s">
        <v>652</v>
      </c>
      <c r="C1118" t="s">
        <v>137</v>
      </c>
      <c r="D1118" t="s">
        <v>384</v>
      </c>
      <c r="E1118">
        <v>9329</v>
      </c>
      <c r="F1118">
        <v>1874</v>
      </c>
    </row>
    <row r="1119" spans="1:6" x14ac:dyDescent="0.2">
      <c r="A1119" t="s">
        <v>339</v>
      </c>
      <c r="B1119" t="s">
        <v>652</v>
      </c>
      <c r="C1119" t="s">
        <v>138</v>
      </c>
      <c r="D1119" t="s">
        <v>384</v>
      </c>
      <c r="E1119">
        <v>1784</v>
      </c>
      <c r="F1119">
        <v>796</v>
      </c>
    </row>
    <row r="1120" spans="1:6" x14ac:dyDescent="0.2">
      <c r="A1120" t="s">
        <v>339</v>
      </c>
      <c r="B1120" t="s">
        <v>652</v>
      </c>
      <c r="C1120" t="s">
        <v>139</v>
      </c>
      <c r="D1120" t="s">
        <v>384</v>
      </c>
      <c r="E1120">
        <v>2047</v>
      </c>
      <c r="F1120">
        <v>853</v>
      </c>
    </row>
    <row r="1121" spans="1:6" x14ac:dyDescent="0.2">
      <c r="A1121" t="s">
        <v>339</v>
      </c>
      <c r="B1121" t="s">
        <v>652</v>
      </c>
      <c r="C1121" t="s">
        <v>140</v>
      </c>
      <c r="D1121" t="s">
        <v>384</v>
      </c>
      <c r="E1121">
        <v>2112</v>
      </c>
      <c r="F1121">
        <v>961</v>
      </c>
    </row>
    <row r="1122" spans="1:6" x14ac:dyDescent="0.2">
      <c r="A1122" t="s">
        <v>339</v>
      </c>
      <c r="B1122" t="s">
        <v>652</v>
      </c>
      <c r="C1122" t="s">
        <v>141</v>
      </c>
      <c r="D1122" t="s">
        <v>384</v>
      </c>
      <c r="E1122">
        <v>3118</v>
      </c>
      <c r="F1122">
        <v>1238</v>
      </c>
    </row>
    <row r="1123" spans="1:6" x14ac:dyDescent="0.2">
      <c r="A1123" t="s">
        <v>339</v>
      </c>
      <c r="B1123" t="s">
        <v>652</v>
      </c>
      <c r="C1123" t="s">
        <v>142</v>
      </c>
      <c r="D1123" t="s">
        <v>384</v>
      </c>
      <c r="E1123">
        <v>787</v>
      </c>
      <c r="F1123">
        <v>434</v>
      </c>
    </row>
    <row r="1124" spans="1:6" x14ac:dyDescent="0.2">
      <c r="A1124" t="s">
        <v>339</v>
      </c>
      <c r="B1124" t="s">
        <v>652</v>
      </c>
      <c r="C1124" t="s">
        <v>143</v>
      </c>
      <c r="D1124" t="s">
        <v>384</v>
      </c>
      <c r="E1124">
        <v>1743</v>
      </c>
      <c r="F1124">
        <v>635</v>
      </c>
    </row>
    <row r="1125" spans="1:6" x14ac:dyDescent="0.2">
      <c r="A1125" t="s">
        <v>339</v>
      </c>
      <c r="B1125" t="s">
        <v>652</v>
      </c>
      <c r="C1125" t="s">
        <v>144</v>
      </c>
      <c r="D1125" t="s">
        <v>384</v>
      </c>
      <c r="E1125">
        <v>5974</v>
      </c>
      <c r="F1125">
        <v>2221</v>
      </c>
    </row>
    <row r="1126" spans="1:6" x14ac:dyDescent="0.2">
      <c r="A1126" t="s">
        <v>339</v>
      </c>
      <c r="B1126" t="s">
        <v>652</v>
      </c>
      <c r="C1126" t="s">
        <v>145</v>
      </c>
      <c r="D1126" t="s">
        <v>384</v>
      </c>
      <c r="E1126">
        <v>3521</v>
      </c>
      <c r="F1126">
        <v>871</v>
      </c>
    </row>
    <row r="1127" spans="1:6" x14ac:dyDescent="0.2">
      <c r="A1127" t="s">
        <v>339</v>
      </c>
      <c r="B1127" t="s">
        <v>652</v>
      </c>
      <c r="C1127" t="s">
        <v>146</v>
      </c>
      <c r="D1127" t="s">
        <v>384</v>
      </c>
      <c r="E1127">
        <v>7670</v>
      </c>
      <c r="F1127">
        <v>1628</v>
      </c>
    </row>
    <row r="1128" spans="1:6" x14ac:dyDescent="0.2">
      <c r="A1128" t="s">
        <v>339</v>
      </c>
      <c r="B1128" t="s">
        <v>652</v>
      </c>
      <c r="C1128" t="s">
        <v>147</v>
      </c>
      <c r="D1128" t="s">
        <v>384</v>
      </c>
      <c r="E1128">
        <v>869</v>
      </c>
      <c r="F1128">
        <v>456</v>
      </c>
    </row>
    <row r="1129" spans="1:6" x14ac:dyDescent="0.2">
      <c r="A1129" t="s">
        <v>339</v>
      </c>
      <c r="B1129" t="s">
        <v>652</v>
      </c>
      <c r="C1129" t="s">
        <v>148</v>
      </c>
      <c r="D1129" t="s">
        <v>384</v>
      </c>
      <c r="E1129">
        <v>1789</v>
      </c>
      <c r="F1129">
        <v>989</v>
      </c>
    </row>
    <row r="1130" spans="1:6" x14ac:dyDescent="0.2">
      <c r="A1130" t="s">
        <v>339</v>
      </c>
      <c r="B1130" t="s">
        <v>652</v>
      </c>
      <c r="C1130" t="s">
        <v>149</v>
      </c>
      <c r="D1130" t="s">
        <v>384</v>
      </c>
      <c r="E1130">
        <v>383</v>
      </c>
      <c r="F1130">
        <v>75</v>
      </c>
    </row>
    <row r="1131" spans="1:6" x14ac:dyDescent="0.2">
      <c r="A1131" t="s">
        <v>339</v>
      </c>
      <c r="B1131" t="s">
        <v>652</v>
      </c>
      <c r="C1131" t="s">
        <v>150</v>
      </c>
      <c r="D1131" t="s">
        <v>384</v>
      </c>
      <c r="E1131">
        <v>3976</v>
      </c>
      <c r="F1131">
        <v>1341</v>
      </c>
    </row>
    <row r="1132" spans="1:6" x14ac:dyDescent="0.2">
      <c r="A1132" t="s">
        <v>339</v>
      </c>
      <c r="B1132" t="s">
        <v>652</v>
      </c>
      <c r="C1132" t="s">
        <v>360</v>
      </c>
      <c r="D1132" t="s">
        <v>384</v>
      </c>
      <c r="E1132">
        <v>69</v>
      </c>
      <c r="F1132">
        <v>29</v>
      </c>
    </row>
    <row r="1133" spans="1:6" x14ac:dyDescent="0.2">
      <c r="A1133" t="s">
        <v>339</v>
      </c>
      <c r="B1133" t="s">
        <v>652</v>
      </c>
      <c r="C1133" t="s">
        <v>151</v>
      </c>
      <c r="D1133" t="s">
        <v>384</v>
      </c>
      <c r="E1133">
        <v>517</v>
      </c>
      <c r="F1133">
        <v>299</v>
      </c>
    </row>
    <row r="1134" spans="1:6" x14ac:dyDescent="0.2">
      <c r="A1134" t="s">
        <v>339</v>
      </c>
      <c r="B1134" t="s">
        <v>652</v>
      </c>
      <c r="C1134" t="s">
        <v>869</v>
      </c>
      <c r="D1134" t="s">
        <v>384</v>
      </c>
      <c r="E1134">
        <v>2</v>
      </c>
      <c r="F1134">
        <v>1</v>
      </c>
    </row>
    <row r="1135" spans="1:6" x14ac:dyDescent="0.2">
      <c r="A1135" t="s">
        <v>339</v>
      </c>
      <c r="B1135" t="s">
        <v>652</v>
      </c>
      <c r="C1135" t="s">
        <v>152</v>
      </c>
      <c r="D1135" t="s">
        <v>384</v>
      </c>
      <c r="E1135">
        <v>6987</v>
      </c>
      <c r="F1135">
        <v>1704</v>
      </c>
    </row>
    <row r="1136" spans="1:6" x14ac:dyDescent="0.2">
      <c r="A1136" t="s">
        <v>339</v>
      </c>
      <c r="B1136" t="s">
        <v>652</v>
      </c>
      <c r="C1136" t="s">
        <v>153</v>
      </c>
      <c r="D1136" t="s">
        <v>384</v>
      </c>
      <c r="E1136">
        <v>1403</v>
      </c>
      <c r="F1136">
        <v>704</v>
      </c>
    </row>
    <row r="1137" spans="1:6" x14ac:dyDescent="0.2">
      <c r="A1137" t="s">
        <v>339</v>
      </c>
      <c r="B1137" t="s">
        <v>652</v>
      </c>
      <c r="C1137" t="s">
        <v>78</v>
      </c>
      <c r="D1137" t="s">
        <v>384</v>
      </c>
      <c r="E1137">
        <v>338</v>
      </c>
      <c r="F1137">
        <v>235</v>
      </c>
    </row>
    <row r="1138" spans="1:6" x14ac:dyDescent="0.2">
      <c r="A1138" t="s">
        <v>339</v>
      </c>
      <c r="B1138" t="s">
        <v>652</v>
      </c>
      <c r="C1138" t="s">
        <v>154</v>
      </c>
      <c r="D1138" t="s">
        <v>384</v>
      </c>
      <c r="E1138">
        <v>2365</v>
      </c>
      <c r="F1138">
        <v>498</v>
      </c>
    </row>
    <row r="1139" spans="1:6" x14ac:dyDescent="0.2">
      <c r="A1139" t="s">
        <v>339</v>
      </c>
      <c r="B1139" t="s">
        <v>652</v>
      </c>
      <c r="C1139" t="s">
        <v>155</v>
      </c>
      <c r="D1139" t="s">
        <v>384</v>
      </c>
      <c r="E1139">
        <v>552</v>
      </c>
      <c r="F1139">
        <v>296</v>
      </c>
    </row>
    <row r="1140" spans="1:6" x14ac:dyDescent="0.2">
      <c r="A1140" t="s">
        <v>339</v>
      </c>
      <c r="B1140" t="s">
        <v>652</v>
      </c>
      <c r="C1140" t="s">
        <v>156</v>
      </c>
      <c r="D1140" t="s">
        <v>384</v>
      </c>
      <c r="E1140">
        <v>710</v>
      </c>
      <c r="F1140">
        <v>341</v>
      </c>
    </row>
    <row r="1141" spans="1:6" x14ac:dyDescent="0.2">
      <c r="A1141" t="s">
        <v>339</v>
      </c>
      <c r="B1141" t="s">
        <v>652</v>
      </c>
      <c r="C1141" t="s">
        <v>361</v>
      </c>
      <c r="D1141" t="s">
        <v>384</v>
      </c>
      <c r="E1141">
        <v>567</v>
      </c>
      <c r="F1141">
        <v>282</v>
      </c>
    </row>
    <row r="1142" spans="1:6" x14ac:dyDescent="0.2">
      <c r="A1142" t="s">
        <v>339</v>
      </c>
      <c r="B1142" t="s">
        <v>652</v>
      </c>
      <c r="C1142" t="s">
        <v>157</v>
      </c>
      <c r="D1142" t="s">
        <v>384</v>
      </c>
      <c r="E1142">
        <v>803</v>
      </c>
      <c r="F1142">
        <v>382</v>
      </c>
    </row>
    <row r="1143" spans="1:6" x14ac:dyDescent="0.2">
      <c r="A1143" t="s">
        <v>339</v>
      </c>
      <c r="B1143" t="s">
        <v>652</v>
      </c>
      <c r="C1143" t="s">
        <v>158</v>
      </c>
      <c r="D1143" t="s">
        <v>384</v>
      </c>
      <c r="E1143">
        <v>811</v>
      </c>
      <c r="F1143">
        <v>401</v>
      </c>
    </row>
    <row r="1144" spans="1:6" x14ac:dyDescent="0.2">
      <c r="A1144" t="s">
        <v>339</v>
      </c>
      <c r="B1144" t="s">
        <v>652</v>
      </c>
      <c r="C1144" t="s">
        <v>159</v>
      </c>
      <c r="D1144" t="s">
        <v>384</v>
      </c>
      <c r="E1144">
        <v>247</v>
      </c>
      <c r="F1144">
        <v>148</v>
      </c>
    </row>
    <row r="1145" spans="1:6" x14ac:dyDescent="0.2">
      <c r="A1145" t="s">
        <v>339</v>
      </c>
      <c r="B1145" t="s">
        <v>652</v>
      </c>
      <c r="C1145" t="s">
        <v>160</v>
      </c>
      <c r="D1145" t="s">
        <v>384</v>
      </c>
      <c r="E1145">
        <v>453</v>
      </c>
      <c r="F1145">
        <v>265</v>
      </c>
    </row>
    <row r="1146" spans="1:6" x14ac:dyDescent="0.2">
      <c r="A1146" t="s">
        <v>339</v>
      </c>
      <c r="B1146" t="s">
        <v>653</v>
      </c>
      <c r="C1146" t="s">
        <v>384</v>
      </c>
      <c r="D1146" t="s">
        <v>384</v>
      </c>
      <c r="E1146">
        <v>6180</v>
      </c>
      <c r="F1146">
        <v>3655</v>
      </c>
    </row>
    <row r="1147" spans="1:6" x14ac:dyDescent="0.2">
      <c r="A1147" t="s">
        <v>339</v>
      </c>
      <c r="B1147" t="s">
        <v>653</v>
      </c>
      <c r="C1147" t="s">
        <v>649</v>
      </c>
      <c r="D1147" t="s">
        <v>384</v>
      </c>
      <c r="E1147">
        <v>20650</v>
      </c>
      <c r="F1147">
        <v>11171</v>
      </c>
    </row>
    <row r="1148" spans="1:6" x14ac:dyDescent="0.2">
      <c r="A1148" t="s">
        <v>339</v>
      </c>
      <c r="B1148" t="s">
        <v>653</v>
      </c>
      <c r="C1148" t="s">
        <v>109</v>
      </c>
      <c r="D1148" t="s">
        <v>384</v>
      </c>
      <c r="E1148">
        <v>15</v>
      </c>
      <c r="F1148">
        <v>8</v>
      </c>
    </row>
    <row r="1149" spans="1:6" x14ac:dyDescent="0.2">
      <c r="A1149" t="s">
        <v>339</v>
      </c>
      <c r="B1149" t="s">
        <v>653</v>
      </c>
      <c r="C1149" t="s">
        <v>110</v>
      </c>
      <c r="D1149" t="s">
        <v>384</v>
      </c>
      <c r="E1149">
        <v>221</v>
      </c>
      <c r="F1149">
        <v>176</v>
      </c>
    </row>
    <row r="1150" spans="1:6" x14ac:dyDescent="0.2">
      <c r="A1150" t="s">
        <v>339</v>
      </c>
      <c r="B1150" t="s">
        <v>653</v>
      </c>
      <c r="C1150" t="s">
        <v>111</v>
      </c>
      <c r="D1150" t="s">
        <v>384</v>
      </c>
      <c r="E1150">
        <v>7</v>
      </c>
      <c r="F1150">
        <v>6</v>
      </c>
    </row>
    <row r="1151" spans="1:6" x14ac:dyDescent="0.2">
      <c r="A1151" t="s">
        <v>339</v>
      </c>
      <c r="B1151" t="s">
        <v>653</v>
      </c>
      <c r="C1151" t="s">
        <v>112</v>
      </c>
      <c r="D1151" t="s">
        <v>384</v>
      </c>
      <c r="E1151">
        <v>14</v>
      </c>
      <c r="F1151">
        <v>4</v>
      </c>
    </row>
    <row r="1152" spans="1:6" x14ac:dyDescent="0.2">
      <c r="A1152" t="s">
        <v>339</v>
      </c>
      <c r="B1152" t="s">
        <v>653</v>
      </c>
      <c r="C1152" t="s">
        <v>113</v>
      </c>
      <c r="D1152" t="s">
        <v>384</v>
      </c>
      <c r="E1152">
        <v>24</v>
      </c>
      <c r="F1152">
        <v>10</v>
      </c>
    </row>
    <row r="1153" spans="1:6" x14ac:dyDescent="0.2">
      <c r="A1153" t="s">
        <v>339</v>
      </c>
      <c r="B1153" t="s">
        <v>653</v>
      </c>
      <c r="C1153" t="s">
        <v>114</v>
      </c>
      <c r="D1153" t="s">
        <v>384</v>
      </c>
      <c r="E1153">
        <v>11</v>
      </c>
      <c r="F1153">
        <v>9</v>
      </c>
    </row>
    <row r="1154" spans="1:6" x14ac:dyDescent="0.2">
      <c r="A1154" t="s">
        <v>339</v>
      </c>
      <c r="B1154" t="s">
        <v>653</v>
      </c>
      <c r="C1154" t="s">
        <v>86</v>
      </c>
      <c r="D1154" t="s">
        <v>384</v>
      </c>
      <c r="E1154">
        <v>38</v>
      </c>
      <c r="F1154">
        <v>22</v>
      </c>
    </row>
    <row r="1155" spans="1:6" x14ac:dyDescent="0.2">
      <c r="A1155" t="s">
        <v>339</v>
      </c>
      <c r="B1155" t="s">
        <v>653</v>
      </c>
      <c r="C1155" t="s">
        <v>115</v>
      </c>
      <c r="D1155" t="s">
        <v>384</v>
      </c>
      <c r="E1155">
        <v>65</v>
      </c>
      <c r="F1155">
        <v>31</v>
      </c>
    </row>
    <row r="1156" spans="1:6" x14ac:dyDescent="0.2">
      <c r="A1156" t="s">
        <v>339</v>
      </c>
      <c r="B1156" t="s">
        <v>653</v>
      </c>
      <c r="C1156" t="s">
        <v>116</v>
      </c>
      <c r="D1156" t="s">
        <v>384</v>
      </c>
      <c r="E1156">
        <v>71</v>
      </c>
      <c r="F1156">
        <v>36</v>
      </c>
    </row>
    <row r="1157" spans="1:6" x14ac:dyDescent="0.2">
      <c r="A1157" t="s">
        <v>339</v>
      </c>
      <c r="B1157" t="s">
        <v>653</v>
      </c>
      <c r="C1157" t="s">
        <v>89</v>
      </c>
      <c r="D1157" t="s">
        <v>384</v>
      </c>
      <c r="E1157">
        <v>32</v>
      </c>
      <c r="F1157">
        <v>17</v>
      </c>
    </row>
    <row r="1158" spans="1:6" x14ac:dyDescent="0.2">
      <c r="A1158" t="s">
        <v>339</v>
      </c>
      <c r="B1158" t="s">
        <v>653</v>
      </c>
      <c r="C1158" t="s">
        <v>117</v>
      </c>
      <c r="D1158" t="s">
        <v>384</v>
      </c>
      <c r="E1158">
        <v>19</v>
      </c>
      <c r="F1158">
        <v>11</v>
      </c>
    </row>
    <row r="1159" spans="1:6" x14ac:dyDescent="0.2">
      <c r="A1159" t="s">
        <v>339</v>
      </c>
      <c r="B1159" t="s">
        <v>653</v>
      </c>
      <c r="C1159" t="s">
        <v>118</v>
      </c>
      <c r="D1159" t="s">
        <v>384</v>
      </c>
      <c r="E1159">
        <v>626</v>
      </c>
      <c r="F1159">
        <v>356</v>
      </c>
    </row>
    <row r="1160" spans="1:6" x14ac:dyDescent="0.2">
      <c r="A1160" t="s">
        <v>339</v>
      </c>
      <c r="B1160" t="s">
        <v>653</v>
      </c>
      <c r="C1160" t="s">
        <v>119</v>
      </c>
      <c r="D1160" t="s">
        <v>384</v>
      </c>
      <c r="E1160">
        <v>1812</v>
      </c>
      <c r="F1160">
        <v>328</v>
      </c>
    </row>
    <row r="1161" spans="1:6" x14ac:dyDescent="0.2">
      <c r="A1161" t="s">
        <v>339</v>
      </c>
      <c r="B1161" t="s">
        <v>653</v>
      </c>
      <c r="C1161" t="s">
        <v>120</v>
      </c>
      <c r="D1161" t="s">
        <v>384</v>
      </c>
      <c r="E1161">
        <v>627</v>
      </c>
      <c r="F1161">
        <v>263</v>
      </c>
    </row>
    <row r="1162" spans="1:6" x14ac:dyDescent="0.2">
      <c r="A1162" t="s">
        <v>339</v>
      </c>
      <c r="B1162" t="s">
        <v>653</v>
      </c>
      <c r="C1162" t="s">
        <v>121</v>
      </c>
      <c r="D1162" t="s">
        <v>384</v>
      </c>
      <c r="E1162">
        <v>829</v>
      </c>
      <c r="F1162">
        <v>638</v>
      </c>
    </row>
    <row r="1163" spans="1:6" x14ac:dyDescent="0.2">
      <c r="A1163" t="s">
        <v>339</v>
      </c>
      <c r="B1163" t="s">
        <v>653</v>
      </c>
      <c r="C1163" t="s">
        <v>80</v>
      </c>
      <c r="D1163" t="s">
        <v>384</v>
      </c>
      <c r="E1163">
        <v>522</v>
      </c>
      <c r="F1163">
        <v>187</v>
      </c>
    </row>
    <row r="1164" spans="1:6" x14ac:dyDescent="0.2">
      <c r="A1164" t="s">
        <v>339</v>
      </c>
      <c r="B1164" t="s">
        <v>653</v>
      </c>
      <c r="C1164" t="s">
        <v>122</v>
      </c>
      <c r="D1164" t="s">
        <v>384</v>
      </c>
      <c r="E1164">
        <v>38</v>
      </c>
      <c r="F1164">
        <v>13</v>
      </c>
    </row>
    <row r="1165" spans="1:6" x14ac:dyDescent="0.2">
      <c r="A1165" t="s">
        <v>339</v>
      </c>
      <c r="B1165" t="s">
        <v>653</v>
      </c>
      <c r="C1165" t="s">
        <v>123</v>
      </c>
      <c r="D1165" t="s">
        <v>384</v>
      </c>
      <c r="E1165">
        <v>699</v>
      </c>
      <c r="F1165">
        <v>591</v>
      </c>
    </row>
    <row r="1166" spans="1:6" x14ac:dyDescent="0.2">
      <c r="A1166" t="s">
        <v>339</v>
      </c>
      <c r="B1166" t="s">
        <v>653</v>
      </c>
      <c r="C1166" t="s">
        <v>124</v>
      </c>
      <c r="D1166" t="s">
        <v>384</v>
      </c>
      <c r="E1166">
        <v>260</v>
      </c>
      <c r="F1166">
        <v>240</v>
      </c>
    </row>
    <row r="1167" spans="1:6" x14ac:dyDescent="0.2">
      <c r="A1167" t="s">
        <v>339</v>
      </c>
      <c r="B1167" t="s">
        <v>653</v>
      </c>
      <c r="C1167" t="s">
        <v>125</v>
      </c>
      <c r="D1167" t="s">
        <v>384</v>
      </c>
      <c r="E1167">
        <v>85</v>
      </c>
      <c r="F1167">
        <v>67</v>
      </c>
    </row>
    <row r="1168" spans="1:6" x14ac:dyDescent="0.2">
      <c r="A1168" t="s">
        <v>339</v>
      </c>
      <c r="B1168" t="s">
        <v>653</v>
      </c>
      <c r="C1168" t="s">
        <v>126</v>
      </c>
      <c r="D1168" t="s">
        <v>384</v>
      </c>
      <c r="E1168">
        <v>248</v>
      </c>
      <c r="F1168">
        <v>236</v>
      </c>
    </row>
    <row r="1169" spans="1:6" x14ac:dyDescent="0.2">
      <c r="A1169" t="s">
        <v>339</v>
      </c>
      <c r="B1169" t="s">
        <v>653</v>
      </c>
      <c r="C1169" t="s">
        <v>127</v>
      </c>
      <c r="D1169" t="s">
        <v>384</v>
      </c>
      <c r="E1169">
        <v>1266</v>
      </c>
      <c r="F1169">
        <v>1188</v>
      </c>
    </row>
    <row r="1170" spans="1:6" x14ac:dyDescent="0.2">
      <c r="A1170" t="s">
        <v>339</v>
      </c>
      <c r="B1170" t="s">
        <v>653</v>
      </c>
      <c r="C1170" t="s">
        <v>128</v>
      </c>
      <c r="D1170" t="s">
        <v>384</v>
      </c>
      <c r="E1170">
        <v>26</v>
      </c>
      <c r="F1170">
        <v>17</v>
      </c>
    </row>
    <row r="1171" spans="1:6" x14ac:dyDescent="0.2">
      <c r="A1171" t="s">
        <v>339</v>
      </c>
      <c r="B1171" t="s">
        <v>653</v>
      </c>
      <c r="C1171" t="s">
        <v>129</v>
      </c>
      <c r="D1171" t="s">
        <v>384</v>
      </c>
      <c r="E1171">
        <v>137</v>
      </c>
      <c r="F1171">
        <v>53</v>
      </c>
    </row>
    <row r="1172" spans="1:6" x14ac:dyDescent="0.2">
      <c r="A1172" t="s">
        <v>339</v>
      </c>
      <c r="B1172" t="s">
        <v>653</v>
      </c>
      <c r="C1172" t="s">
        <v>130</v>
      </c>
      <c r="D1172" t="s">
        <v>384</v>
      </c>
      <c r="E1172">
        <v>80</v>
      </c>
      <c r="F1172">
        <v>30</v>
      </c>
    </row>
    <row r="1173" spans="1:6" x14ac:dyDescent="0.2">
      <c r="A1173" t="s">
        <v>339</v>
      </c>
      <c r="B1173" t="s">
        <v>653</v>
      </c>
      <c r="C1173" t="s">
        <v>131</v>
      </c>
      <c r="D1173" t="s">
        <v>384</v>
      </c>
      <c r="E1173">
        <v>299</v>
      </c>
      <c r="F1173">
        <v>264</v>
      </c>
    </row>
    <row r="1174" spans="1:6" x14ac:dyDescent="0.2">
      <c r="A1174" t="s">
        <v>339</v>
      </c>
      <c r="B1174" t="s">
        <v>653</v>
      </c>
      <c r="C1174" t="s">
        <v>132</v>
      </c>
      <c r="D1174" t="s">
        <v>384</v>
      </c>
      <c r="E1174">
        <v>15</v>
      </c>
      <c r="F1174">
        <v>9</v>
      </c>
    </row>
    <row r="1175" spans="1:6" x14ac:dyDescent="0.2">
      <c r="A1175" t="s">
        <v>339</v>
      </c>
      <c r="B1175" t="s">
        <v>653</v>
      </c>
      <c r="C1175" t="s">
        <v>133</v>
      </c>
      <c r="D1175" t="s">
        <v>384</v>
      </c>
      <c r="E1175">
        <v>195</v>
      </c>
      <c r="F1175">
        <v>172</v>
      </c>
    </row>
    <row r="1176" spans="1:6" x14ac:dyDescent="0.2">
      <c r="A1176" t="s">
        <v>339</v>
      </c>
      <c r="B1176" t="s">
        <v>653</v>
      </c>
      <c r="C1176" t="s">
        <v>134</v>
      </c>
      <c r="D1176" t="s">
        <v>384</v>
      </c>
      <c r="E1176">
        <v>752</v>
      </c>
      <c r="F1176">
        <v>193</v>
      </c>
    </row>
    <row r="1177" spans="1:6" x14ac:dyDescent="0.2">
      <c r="A1177" t="s">
        <v>339</v>
      </c>
      <c r="B1177" t="s">
        <v>653</v>
      </c>
      <c r="C1177" t="s">
        <v>135</v>
      </c>
      <c r="D1177" t="s">
        <v>384</v>
      </c>
      <c r="E1177">
        <v>547</v>
      </c>
      <c r="F1177">
        <v>404</v>
      </c>
    </row>
    <row r="1178" spans="1:6" x14ac:dyDescent="0.2">
      <c r="A1178" t="s">
        <v>339</v>
      </c>
      <c r="B1178" t="s">
        <v>653</v>
      </c>
      <c r="C1178" t="s">
        <v>136</v>
      </c>
      <c r="D1178" t="s">
        <v>384</v>
      </c>
      <c r="E1178">
        <v>9</v>
      </c>
      <c r="F1178">
        <v>1</v>
      </c>
    </row>
    <row r="1179" spans="1:6" x14ac:dyDescent="0.2">
      <c r="A1179" t="s">
        <v>339</v>
      </c>
      <c r="B1179" t="s">
        <v>653</v>
      </c>
      <c r="C1179" t="s">
        <v>137</v>
      </c>
      <c r="D1179" t="s">
        <v>384</v>
      </c>
      <c r="E1179">
        <v>272</v>
      </c>
      <c r="F1179">
        <v>181</v>
      </c>
    </row>
    <row r="1180" spans="1:6" x14ac:dyDescent="0.2">
      <c r="A1180" t="s">
        <v>339</v>
      </c>
      <c r="B1180" t="s">
        <v>653</v>
      </c>
      <c r="C1180" t="s">
        <v>138</v>
      </c>
      <c r="D1180" t="s">
        <v>384</v>
      </c>
      <c r="E1180">
        <v>160</v>
      </c>
      <c r="F1180">
        <v>35</v>
      </c>
    </row>
    <row r="1181" spans="1:6" x14ac:dyDescent="0.2">
      <c r="A1181" t="s">
        <v>339</v>
      </c>
      <c r="B1181" t="s">
        <v>653</v>
      </c>
      <c r="C1181" t="s">
        <v>139</v>
      </c>
      <c r="D1181" t="s">
        <v>384</v>
      </c>
      <c r="E1181">
        <v>51</v>
      </c>
      <c r="F1181">
        <v>24</v>
      </c>
    </row>
    <row r="1182" spans="1:6" x14ac:dyDescent="0.2">
      <c r="A1182" t="s">
        <v>339</v>
      </c>
      <c r="B1182" t="s">
        <v>653</v>
      </c>
      <c r="C1182" t="s">
        <v>140</v>
      </c>
      <c r="D1182" t="s">
        <v>384</v>
      </c>
      <c r="E1182">
        <v>383</v>
      </c>
      <c r="F1182">
        <v>126</v>
      </c>
    </row>
    <row r="1183" spans="1:6" x14ac:dyDescent="0.2">
      <c r="A1183" t="s">
        <v>339</v>
      </c>
      <c r="B1183" t="s">
        <v>653</v>
      </c>
      <c r="C1183" t="s">
        <v>141</v>
      </c>
      <c r="D1183" t="s">
        <v>384</v>
      </c>
      <c r="E1183">
        <v>1937</v>
      </c>
      <c r="F1183">
        <v>649</v>
      </c>
    </row>
    <row r="1184" spans="1:6" x14ac:dyDescent="0.2">
      <c r="A1184" t="s">
        <v>339</v>
      </c>
      <c r="B1184" t="s">
        <v>653</v>
      </c>
      <c r="C1184" t="s">
        <v>142</v>
      </c>
      <c r="D1184" t="s">
        <v>384</v>
      </c>
      <c r="E1184">
        <v>5</v>
      </c>
      <c r="F1184">
        <v>2</v>
      </c>
    </row>
    <row r="1185" spans="1:6" x14ac:dyDescent="0.2">
      <c r="A1185" t="s">
        <v>339</v>
      </c>
      <c r="B1185" t="s">
        <v>653</v>
      </c>
      <c r="C1185" t="s">
        <v>143</v>
      </c>
      <c r="D1185" t="s">
        <v>384</v>
      </c>
      <c r="E1185">
        <v>19</v>
      </c>
      <c r="F1185">
        <v>10</v>
      </c>
    </row>
    <row r="1186" spans="1:6" x14ac:dyDescent="0.2">
      <c r="A1186" t="s">
        <v>339</v>
      </c>
      <c r="B1186" t="s">
        <v>653</v>
      </c>
      <c r="C1186" t="s">
        <v>144</v>
      </c>
      <c r="D1186" t="s">
        <v>384</v>
      </c>
      <c r="E1186">
        <v>629</v>
      </c>
      <c r="F1186">
        <v>274</v>
      </c>
    </row>
    <row r="1187" spans="1:6" x14ac:dyDescent="0.2">
      <c r="A1187" t="s">
        <v>339</v>
      </c>
      <c r="B1187" t="s">
        <v>653</v>
      </c>
      <c r="C1187" t="s">
        <v>145</v>
      </c>
      <c r="D1187" t="s">
        <v>384</v>
      </c>
      <c r="E1187">
        <v>57</v>
      </c>
      <c r="F1187">
        <v>2</v>
      </c>
    </row>
    <row r="1188" spans="1:6" x14ac:dyDescent="0.2">
      <c r="A1188" t="s">
        <v>339</v>
      </c>
      <c r="B1188" t="s">
        <v>653</v>
      </c>
      <c r="C1188" t="s">
        <v>146</v>
      </c>
      <c r="D1188" t="s">
        <v>384</v>
      </c>
      <c r="E1188">
        <v>65</v>
      </c>
      <c r="F1188">
        <v>18</v>
      </c>
    </row>
    <row r="1189" spans="1:6" x14ac:dyDescent="0.2">
      <c r="A1189" t="s">
        <v>339</v>
      </c>
      <c r="B1189" t="s">
        <v>653</v>
      </c>
      <c r="C1189" t="s">
        <v>147</v>
      </c>
      <c r="D1189" t="s">
        <v>384</v>
      </c>
      <c r="E1189">
        <v>20</v>
      </c>
      <c r="F1189">
        <v>13</v>
      </c>
    </row>
    <row r="1190" spans="1:6" x14ac:dyDescent="0.2">
      <c r="A1190" t="s">
        <v>339</v>
      </c>
      <c r="B1190" t="s">
        <v>653</v>
      </c>
      <c r="C1190" t="s">
        <v>148</v>
      </c>
      <c r="D1190" t="s">
        <v>384</v>
      </c>
      <c r="E1190">
        <v>215</v>
      </c>
      <c r="F1190">
        <v>168</v>
      </c>
    </row>
    <row r="1191" spans="1:6" x14ac:dyDescent="0.2">
      <c r="A1191" t="s">
        <v>339</v>
      </c>
      <c r="B1191" t="s">
        <v>653</v>
      </c>
      <c r="C1191" t="s">
        <v>149</v>
      </c>
      <c r="D1191" t="s">
        <v>384</v>
      </c>
      <c r="E1191">
        <v>341</v>
      </c>
      <c r="F1191">
        <v>30</v>
      </c>
    </row>
    <row r="1192" spans="1:6" x14ac:dyDescent="0.2">
      <c r="A1192" t="s">
        <v>339</v>
      </c>
      <c r="B1192" t="s">
        <v>653</v>
      </c>
      <c r="C1192" t="s">
        <v>150</v>
      </c>
      <c r="D1192" t="s">
        <v>384</v>
      </c>
      <c r="E1192">
        <v>193</v>
      </c>
      <c r="F1192">
        <v>154</v>
      </c>
    </row>
    <row r="1193" spans="1:6" x14ac:dyDescent="0.2">
      <c r="A1193" t="s">
        <v>339</v>
      </c>
      <c r="B1193" t="s">
        <v>653</v>
      </c>
      <c r="C1193" t="s">
        <v>360</v>
      </c>
      <c r="D1193" t="s">
        <v>384</v>
      </c>
      <c r="E1193">
        <v>41</v>
      </c>
      <c r="F1193">
        <v>36</v>
      </c>
    </row>
    <row r="1194" spans="1:6" x14ac:dyDescent="0.2">
      <c r="A1194" t="s">
        <v>339</v>
      </c>
      <c r="B1194" t="s">
        <v>653</v>
      </c>
      <c r="C1194" t="s">
        <v>151</v>
      </c>
      <c r="D1194" t="s">
        <v>384</v>
      </c>
      <c r="E1194">
        <v>4</v>
      </c>
    </row>
    <row r="1195" spans="1:6" x14ac:dyDescent="0.2">
      <c r="A1195" t="s">
        <v>339</v>
      </c>
      <c r="B1195" t="s">
        <v>653</v>
      </c>
      <c r="C1195" t="s">
        <v>152</v>
      </c>
      <c r="D1195" t="s">
        <v>384</v>
      </c>
      <c r="E1195">
        <v>434</v>
      </c>
      <c r="F1195">
        <v>193</v>
      </c>
    </row>
    <row r="1196" spans="1:6" x14ac:dyDescent="0.2">
      <c r="A1196" t="s">
        <v>339</v>
      </c>
      <c r="B1196" t="s">
        <v>653</v>
      </c>
      <c r="C1196" t="s">
        <v>153</v>
      </c>
      <c r="D1196" t="s">
        <v>384</v>
      </c>
      <c r="E1196">
        <v>4</v>
      </c>
      <c r="F1196">
        <v>2</v>
      </c>
    </row>
    <row r="1197" spans="1:6" x14ac:dyDescent="0.2">
      <c r="A1197" t="s">
        <v>339</v>
      </c>
      <c r="B1197" t="s">
        <v>653</v>
      </c>
      <c r="C1197" t="s">
        <v>78</v>
      </c>
      <c r="D1197" t="s">
        <v>384</v>
      </c>
      <c r="E1197">
        <v>9</v>
      </c>
      <c r="F1197">
        <v>2</v>
      </c>
    </row>
    <row r="1198" spans="1:6" x14ac:dyDescent="0.2">
      <c r="A1198" t="s">
        <v>339</v>
      </c>
      <c r="B1198" t="s">
        <v>653</v>
      </c>
      <c r="C1198" t="s">
        <v>154</v>
      </c>
      <c r="D1198" t="s">
        <v>384</v>
      </c>
      <c r="E1198">
        <v>14</v>
      </c>
    </row>
    <row r="1199" spans="1:6" x14ac:dyDescent="0.2">
      <c r="A1199" t="s">
        <v>339</v>
      </c>
      <c r="B1199" t="s">
        <v>653</v>
      </c>
      <c r="C1199" t="s">
        <v>155</v>
      </c>
      <c r="D1199" t="s">
        <v>384</v>
      </c>
      <c r="E1199">
        <v>6</v>
      </c>
      <c r="F1199">
        <v>6</v>
      </c>
    </row>
    <row r="1200" spans="1:6" x14ac:dyDescent="0.2">
      <c r="A1200" t="s">
        <v>339</v>
      </c>
      <c r="B1200" t="s">
        <v>653</v>
      </c>
      <c r="C1200" t="s">
        <v>156</v>
      </c>
      <c r="D1200" t="s">
        <v>384</v>
      </c>
      <c r="E1200">
        <v>5</v>
      </c>
      <c r="F1200">
        <v>1</v>
      </c>
    </row>
    <row r="1201" spans="1:6" x14ac:dyDescent="0.2">
      <c r="A1201" t="s">
        <v>339</v>
      </c>
      <c r="B1201" t="s">
        <v>653</v>
      </c>
      <c r="C1201" t="s">
        <v>157</v>
      </c>
      <c r="D1201" t="s">
        <v>384</v>
      </c>
      <c r="E1201">
        <v>6</v>
      </c>
      <c r="F1201">
        <v>1</v>
      </c>
    </row>
    <row r="1202" spans="1:6" x14ac:dyDescent="0.2">
      <c r="A1202" t="s">
        <v>339</v>
      </c>
      <c r="B1202" t="s">
        <v>653</v>
      </c>
      <c r="C1202" t="s">
        <v>158</v>
      </c>
      <c r="D1202" t="s">
        <v>384</v>
      </c>
      <c r="E1202">
        <v>11</v>
      </c>
      <c r="F1202">
        <v>9</v>
      </c>
    </row>
    <row r="1203" spans="1:6" x14ac:dyDescent="0.2">
      <c r="A1203" t="s">
        <v>339</v>
      </c>
      <c r="B1203" t="s">
        <v>654</v>
      </c>
      <c r="C1203" t="s">
        <v>384</v>
      </c>
      <c r="D1203" t="s">
        <v>384</v>
      </c>
      <c r="E1203">
        <v>9944</v>
      </c>
      <c r="F1203">
        <v>301</v>
      </c>
    </row>
    <row r="1204" spans="1:6" x14ac:dyDescent="0.2">
      <c r="A1204" t="s">
        <v>339</v>
      </c>
      <c r="B1204" t="s">
        <v>654</v>
      </c>
      <c r="C1204" t="s">
        <v>649</v>
      </c>
      <c r="D1204" t="s">
        <v>384</v>
      </c>
      <c r="E1204">
        <v>71403</v>
      </c>
      <c r="F1204">
        <v>26452</v>
      </c>
    </row>
    <row r="1205" spans="1:6" x14ac:dyDescent="0.2">
      <c r="A1205" t="s">
        <v>339</v>
      </c>
      <c r="B1205" t="s">
        <v>654</v>
      </c>
      <c r="C1205" t="s">
        <v>109</v>
      </c>
      <c r="D1205" t="s">
        <v>384</v>
      </c>
      <c r="E1205">
        <v>155</v>
      </c>
      <c r="F1205">
        <v>111</v>
      </c>
    </row>
    <row r="1206" spans="1:6" x14ac:dyDescent="0.2">
      <c r="A1206" t="s">
        <v>339</v>
      </c>
      <c r="B1206" t="s">
        <v>654</v>
      </c>
      <c r="C1206" t="s">
        <v>110</v>
      </c>
      <c r="D1206" t="s">
        <v>384</v>
      </c>
      <c r="E1206">
        <v>416</v>
      </c>
      <c r="F1206">
        <v>239</v>
      </c>
    </row>
    <row r="1207" spans="1:6" x14ac:dyDescent="0.2">
      <c r="A1207" t="s">
        <v>339</v>
      </c>
      <c r="B1207" t="s">
        <v>654</v>
      </c>
      <c r="C1207" t="s">
        <v>111</v>
      </c>
      <c r="D1207" t="s">
        <v>384</v>
      </c>
      <c r="E1207">
        <v>463</v>
      </c>
      <c r="F1207">
        <v>209</v>
      </c>
    </row>
    <row r="1208" spans="1:6" x14ac:dyDescent="0.2">
      <c r="A1208" t="s">
        <v>339</v>
      </c>
      <c r="B1208" t="s">
        <v>654</v>
      </c>
      <c r="C1208" t="s">
        <v>112</v>
      </c>
      <c r="D1208" t="s">
        <v>384</v>
      </c>
      <c r="E1208">
        <v>301</v>
      </c>
      <c r="F1208">
        <v>144</v>
      </c>
    </row>
    <row r="1209" spans="1:6" x14ac:dyDescent="0.2">
      <c r="A1209" t="s">
        <v>339</v>
      </c>
      <c r="B1209" t="s">
        <v>654</v>
      </c>
      <c r="C1209" t="s">
        <v>113</v>
      </c>
      <c r="D1209" t="s">
        <v>384</v>
      </c>
      <c r="E1209">
        <v>214</v>
      </c>
      <c r="F1209">
        <v>141</v>
      </c>
    </row>
    <row r="1210" spans="1:6" x14ac:dyDescent="0.2">
      <c r="A1210" t="s">
        <v>339</v>
      </c>
      <c r="B1210" t="s">
        <v>654</v>
      </c>
      <c r="C1210" t="s">
        <v>114</v>
      </c>
      <c r="D1210" t="s">
        <v>384</v>
      </c>
      <c r="E1210">
        <v>169</v>
      </c>
      <c r="F1210">
        <v>125</v>
      </c>
    </row>
    <row r="1211" spans="1:6" x14ac:dyDescent="0.2">
      <c r="A1211" t="s">
        <v>339</v>
      </c>
      <c r="B1211" t="s">
        <v>654</v>
      </c>
      <c r="C1211" t="s">
        <v>86</v>
      </c>
      <c r="D1211" t="s">
        <v>384</v>
      </c>
      <c r="E1211">
        <v>1460</v>
      </c>
      <c r="F1211">
        <v>991</v>
      </c>
    </row>
    <row r="1212" spans="1:6" x14ac:dyDescent="0.2">
      <c r="A1212" t="s">
        <v>339</v>
      </c>
      <c r="B1212" t="s">
        <v>654</v>
      </c>
      <c r="C1212" t="s">
        <v>115</v>
      </c>
      <c r="D1212" t="s">
        <v>384</v>
      </c>
      <c r="E1212">
        <v>321</v>
      </c>
      <c r="F1212">
        <v>166</v>
      </c>
    </row>
    <row r="1213" spans="1:6" x14ac:dyDescent="0.2">
      <c r="A1213" t="s">
        <v>339</v>
      </c>
      <c r="B1213" t="s">
        <v>654</v>
      </c>
      <c r="C1213" t="s">
        <v>116</v>
      </c>
      <c r="D1213" t="s">
        <v>384</v>
      </c>
      <c r="E1213">
        <v>846</v>
      </c>
      <c r="F1213">
        <v>422</v>
      </c>
    </row>
    <row r="1214" spans="1:6" x14ac:dyDescent="0.2">
      <c r="A1214" t="s">
        <v>339</v>
      </c>
      <c r="B1214" t="s">
        <v>654</v>
      </c>
      <c r="C1214" t="s">
        <v>89</v>
      </c>
      <c r="D1214" t="s">
        <v>384</v>
      </c>
      <c r="E1214">
        <v>1478</v>
      </c>
      <c r="F1214">
        <v>857</v>
      </c>
    </row>
    <row r="1215" spans="1:6" x14ac:dyDescent="0.2">
      <c r="A1215" t="s">
        <v>339</v>
      </c>
      <c r="B1215" t="s">
        <v>654</v>
      </c>
      <c r="C1215" t="s">
        <v>117</v>
      </c>
      <c r="D1215" t="s">
        <v>384</v>
      </c>
      <c r="E1215">
        <v>562</v>
      </c>
      <c r="F1215">
        <v>384</v>
      </c>
    </row>
    <row r="1216" spans="1:6" x14ac:dyDescent="0.2">
      <c r="A1216" t="s">
        <v>339</v>
      </c>
      <c r="B1216" t="s">
        <v>654</v>
      </c>
      <c r="C1216" t="s">
        <v>118</v>
      </c>
      <c r="D1216" t="s">
        <v>384</v>
      </c>
      <c r="E1216">
        <v>1406</v>
      </c>
      <c r="F1216">
        <v>695</v>
      </c>
    </row>
    <row r="1217" spans="1:6" x14ac:dyDescent="0.2">
      <c r="A1217" t="s">
        <v>339</v>
      </c>
      <c r="B1217" t="s">
        <v>654</v>
      </c>
      <c r="C1217" t="s">
        <v>119</v>
      </c>
      <c r="D1217" t="s">
        <v>384</v>
      </c>
      <c r="E1217">
        <v>2893</v>
      </c>
      <c r="F1217">
        <v>1542</v>
      </c>
    </row>
    <row r="1218" spans="1:6" x14ac:dyDescent="0.2">
      <c r="A1218" t="s">
        <v>339</v>
      </c>
      <c r="B1218" t="s">
        <v>654</v>
      </c>
      <c r="C1218" t="s">
        <v>120</v>
      </c>
      <c r="D1218" t="s">
        <v>384</v>
      </c>
      <c r="E1218">
        <v>2047</v>
      </c>
      <c r="F1218">
        <v>1253</v>
      </c>
    </row>
    <row r="1219" spans="1:6" x14ac:dyDescent="0.2">
      <c r="A1219" t="s">
        <v>339</v>
      </c>
      <c r="B1219" t="s">
        <v>654</v>
      </c>
      <c r="C1219" t="s">
        <v>121</v>
      </c>
      <c r="D1219" t="s">
        <v>384</v>
      </c>
      <c r="E1219">
        <v>1288</v>
      </c>
      <c r="F1219">
        <v>595</v>
      </c>
    </row>
    <row r="1220" spans="1:6" x14ac:dyDescent="0.2">
      <c r="A1220" t="s">
        <v>339</v>
      </c>
      <c r="B1220" t="s">
        <v>654</v>
      </c>
      <c r="C1220" t="s">
        <v>80</v>
      </c>
      <c r="D1220" t="s">
        <v>384</v>
      </c>
      <c r="E1220">
        <v>937</v>
      </c>
      <c r="F1220">
        <v>582</v>
      </c>
    </row>
    <row r="1221" spans="1:6" x14ac:dyDescent="0.2">
      <c r="A1221" t="s">
        <v>339</v>
      </c>
      <c r="B1221" t="s">
        <v>654</v>
      </c>
      <c r="C1221" t="s">
        <v>122</v>
      </c>
      <c r="D1221" t="s">
        <v>384</v>
      </c>
      <c r="E1221">
        <v>450</v>
      </c>
      <c r="F1221">
        <v>317</v>
      </c>
    </row>
    <row r="1222" spans="1:6" x14ac:dyDescent="0.2">
      <c r="A1222" t="s">
        <v>339</v>
      </c>
      <c r="B1222" t="s">
        <v>654</v>
      </c>
      <c r="C1222" t="s">
        <v>123</v>
      </c>
      <c r="D1222" t="s">
        <v>384</v>
      </c>
      <c r="E1222">
        <v>885</v>
      </c>
      <c r="F1222">
        <v>366</v>
      </c>
    </row>
    <row r="1223" spans="1:6" x14ac:dyDescent="0.2">
      <c r="A1223" t="s">
        <v>339</v>
      </c>
      <c r="B1223" t="s">
        <v>654</v>
      </c>
      <c r="C1223" t="s">
        <v>124</v>
      </c>
      <c r="D1223" t="s">
        <v>384</v>
      </c>
      <c r="E1223">
        <v>468</v>
      </c>
      <c r="F1223">
        <v>212</v>
      </c>
    </row>
    <row r="1224" spans="1:6" x14ac:dyDescent="0.2">
      <c r="A1224" t="s">
        <v>339</v>
      </c>
      <c r="B1224" t="s">
        <v>654</v>
      </c>
      <c r="C1224" t="s">
        <v>125</v>
      </c>
      <c r="D1224" t="s">
        <v>384</v>
      </c>
      <c r="E1224">
        <v>931</v>
      </c>
      <c r="F1224">
        <v>567</v>
      </c>
    </row>
    <row r="1225" spans="1:6" x14ac:dyDescent="0.2">
      <c r="A1225" t="s">
        <v>339</v>
      </c>
      <c r="B1225" t="s">
        <v>654</v>
      </c>
      <c r="C1225" t="s">
        <v>126</v>
      </c>
      <c r="D1225" t="s">
        <v>384</v>
      </c>
      <c r="E1225">
        <v>1063</v>
      </c>
      <c r="F1225">
        <v>333</v>
      </c>
    </row>
    <row r="1226" spans="1:6" x14ac:dyDescent="0.2">
      <c r="A1226" t="s">
        <v>339</v>
      </c>
      <c r="B1226" t="s">
        <v>654</v>
      </c>
      <c r="C1226" t="s">
        <v>127</v>
      </c>
      <c r="D1226" t="s">
        <v>384</v>
      </c>
      <c r="E1226">
        <v>603</v>
      </c>
      <c r="F1226">
        <v>403</v>
      </c>
    </row>
    <row r="1227" spans="1:6" x14ac:dyDescent="0.2">
      <c r="A1227" t="s">
        <v>339</v>
      </c>
      <c r="B1227" t="s">
        <v>654</v>
      </c>
      <c r="C1227" t="s">
        <v>128</v>
      </c>
      <c r="D1227" t="s">
        <v>384</v>
      </c>
      <c r="E1227">
        <v>640</v>
      </c>
      <c r="F1227">
        <v>249</v>
      </c>
    </row>
    <row r="1228" spans="1:6" x14ac:dyDescent="0.2">
      <c r="A1228" t="s">
        <v>339</v>
      </c>
      <c r="B1228" t="s">
        <v>654</v>
      </c>
      <c r="C1228" t="s">
        <v>129</v>
      </c>
      <c r="D1228" t="s">
        <v>384</v>
      </c>
      <c r="E1228">
        <v>585</v>
      </c>
      <c r="F1228">
        <v>351</v>
      </c>
    </row>
    <row r="1229" spans="1:6" x14ac:dyDescent="0.2">
      <c r="A1229" t="s">
        <v>339</v>
      </c>
      <c r="B1229" t="s">
        <v>654</v>
      </c>
      <c r="C1229" t="s">
        <v>130</v>
      </c>
      <c r="D1229" t="s">
        <v>384</v>
      </c>
      <c r="E1229">
        <v>1253</v>
      </c>
      <c r="F1229">
        <v>732</v>
      </c>
    </row>
    <row r="1230" spans="1:6" x14ac:dyDescent="0.2">
      <c r="A1230" t="s">
        <v>339</v>
      </c>
      <c r="B1230" t="s">
        <v>654</v>
      </c>
      <c r="C1230" t="s">
        <v>131</v>
      </c>
      <c r="D1230" t="s">
        <v>384</v>
      </c>
      <c r="E1230">
        <v>599</v>
      </c>
      <c r="F1230">
        <v>422</v>
      </c>
    </row>
    <row r="1231" spans="1:6" x14ac:dyDescent="0.2">
      <c r="A1231" t="s">
        <v>339</v>
      </c>
      <c r="B1231" t="s">
        <v>654</v>
      </c>
      <c r="C1231" t="s">
        <v>132</v>
      </c>
      <c r="D1231" t="s">
        <v>384</v>
      </c>
      <c r="E1231">
        <v>396</v>
      </c>
      <c r="F1231">
        <v>210</v>
      </c>
    </row>
    <row r="1232" spans="1:6" x14ac:dyDescent="0.2">
      <c r="A1232" t="s">
        <v>339</v>
      </c>
      <c r="B1232" t="s">
        <v>654</v>
      </c>
      <c r="C1232" t="s">
        <v>133</v>
      </c>
      <c r="D1232" t="s">
        <v>384</v>
      </c>
      <c r="E1232">
        <v>533</v>
      </c>
      <c r="F1232">
        <v>320</v>
      </c>
    </row>
    <row r="1233" spans="1:6" x14ac:dyDescent="0.2">
      <c r="A1233" t="s">
        <v>339</v>
      </c>
      <c r="B1233" t="s">
        <v>654</v>
      </c>
      <c r="C1233" t="s">
        <v>134</v>
      </c>
      <c r="D1233" t="s">
        <v>384</v>
      </c>
      <c r="E1233">
        <v>4287</v>
      </c>
      <c r="F1233">
        <v>2757</v>
      </c>
    </row>
    <row r="1234" spans="1:6" x14ac:dyDescent="0.2">
      <c r="A1234" t="s">
        <v>339</v>
      </c>
      <c r="B1234" t="s">
        <v>654</v>
      </c>
      <c r="C1234" t="s">
        <v>135</v>
      </c>
      <c r="D1234" t="s">
        <v>384</v>
      </c>
      <c r="E1234">
        <v>496</v>
      </c>
      <c r="F1234">
        <v>292</v>
      </c>
    </row>
    <row r="1235" spans="1:6" x14ac:dyDescent="0.2">
      <c r="A1235" t="s">
        <v>339</v>
      </c>
      <c r="B1235" t="s">
        <v>654</v>
      </c>
      <c r="C1235" t="s">
        <v>136</v>
      </c>
      <c r="D1235" t="s">
        <v>384</v>
      </c>
      <c r="E1235">
        <v>227</v>
      </c>
      <c r="F1235">
        <v>144</v>
      </c>
    </row>
    <row r="1236" spans="1:6" x14ac:dyDescent="0.2">
      <c r="A1236" t="s">
        <v>339</v>
      </c>
      <c r="B1236" t="s">
        <v>654</v>
      </c>
      <c r="C1236" t="s">
        <v>137</v>
      </c>
      <c r="D1236" t="s">
        <v>384</v>
      </c>
      <c r="E1236">
        <v>530</v>
      </c>
      <c r="F1236">
        <v>401</v>
      </c>
    </row>
    <row r="1237" spans="1:6" x14ac:dyDescent="0.2">
      <c r="A1237" t="s">
        <v>339</v>
      </c>
      <c r="B1237" t="s">
        <v>654</v>
      </c>
      <c r="C1237" t="s">
        <v>138</v>
      </c>
      <c r="D1237" t="s">
        <v>384</v>
      </c>
      <c r="E1237">
        <v>814</v>
      </c>
      <c r="F1237">
        <v>570</v>
      </c>
    </row>
    <row r="1238" spans="1:6" x14ac:dyDescent="0.2">
      <c r="A1238" t="s">
        <v>339</v>
      </c>
      <c r="B1238" t="s">
        <v>654</v>
      </c>
      <c r="C1238" t="s">
        <v>139</v>
      </c>
      <c r="D1238" t="s">
        <v>384</v>
      </c>
      <c r="E1238">
        <v>972</v>
      </c>
      <c r="F1238">
        <v>551</v>
      </c>
    </row>
    <row r="1239" spans="1:6" x14ac:dyDescent="0.2">
      <c r="A1239" t="s">
        <v>339</v>
      </c>
      <c r="B1239" t="s">
        <v>654</v>
      </c>
      <c r="C1239" t="s">
        <v>140</v>
      </c>
      <c r="D1239" t="s">
        <v>384</v>
      </c>
      <c r="E1239">
        <v>859</v>
      </c>
      <c r="F1239">
        <v>583</v>
      </c>
    </row>
    <row r="1240" spans="1:6" x14ac:dyDescent="0.2">
      <c r="A1240" t="s">
        <v>339</v>
      </c>
      <c r="B1240" t="s">
        <v>654</v>
      </c>
      <c r="C1240" t="s">
        <v>141</v>
      </c>
      <c r="D1240" t="s">
        <v>384</v>
      </c>
      <c r="E1240">
        <v>1379</v>
      </c>
      <c r="F1240">
        <v>765</v>
      </c>
    </row>
    <row r="1241" spans="1:6" x14ac:dyDescent="0.2">
      <c r="A1241" t="s">
        <v>339</v>
      </c>
      <c r="B1241" t="s">
        <v>654</v>
      </c>
      <c r="C1241" t="s">
        <v>142</v>
      </c>
      <c r="D1241" t="s">
        <v>384</v>
      </c>
      <c r="E1241">
        <v>155</v>
      </c>
      <c r="F1241">
        <v>102</v>
      </c>
    </row>
    <row r="1242" spans="1:6" x14ac:dyDescent="0.2">
      <c r="A1242" t="s">
        <v>339</v>
      </c>
      <c r="B1242" t="s">
        <v>654</v>
      </c>
      <c r="C1242" t="s">
        <v>143</v>
      </c>
      <c r="D1242" t="s">
        <v>384</v>
      </c>
      <c r="E1242">
        <v>702</v>
      </c>
      <c r="F1242">
        <v>344</v>
      </c>
    </row>
    <row r="1243" spans="1:6" x14ac:dyDescent="0.2">
      <c r="A1243" t="s">
        <v>339</v>
      </c>
      <c r="B1243" t="s">
        <v>654</v>
      </c>
      <c r="C1243" t="s">
        <v>144</v>
      </c>
      <c r="D1243" t="s">
        <v>384</v>
      </c>
      <c r="E1243">
        <v>1931</v>
      </c>
      <c r="F1243">
        <v>1100</v>
      </c>
    </row>
    <row r="1244" spans="1:6" x14ac:dyDescent="0.2">
      <c r="A1244" t="s">
        <v>339</v>
      </c>
      <c r="B1244" t="s">
        <v>654</v>
      </c>
      <c r="C1244" t="s">
        <v>145</v>
      </c>
      <c r="D1244" t="s">
        <v>384</v>
      </c>
      <c r="E1244">
        <v>449</v>
      </c>
      <c r="F1244">
        <v>252</v>
      </c>
    </row>
    <row r="1245" spans="1:6" x14ac:dyDescent="0.2">
      <c r="A1245" t="s">
        <v>339</v>
      </c>
      <c r="B1245" t="s">
        <v>654</v>
      </c>
      <c r="C1245" t="s">
        <v>146</v>
      </c>
      <c r="D1245" t="s">
        <v>384</v>
      </c>
      <c r="E1245">
        <v>1117</v>
      </c>
      <c r="F1245">
        <v>736</v>
      </c>
    </row>
    <row r="1246" spans="1:6" x14ac:dyDescent="0.2">
      <c r="A1246" t="s">
        <v>339</v>
      </c>
      <c r="B1246" t="s">
        <v>654</v>
      </c>
      <c r="C1246" t="s">
        <v>147</v>
      </c>
      <c r="D1246" t="s">
        <v>384</v>
      </c>
      <c r="E1246">
        <v>325</v>
      </c>
      <c r="F1246">
        <v>214</v>
      </c>
    </row>
    <row r="1247" spans="1:6" x14ac:dyDescent="0.2">
      <c r="A1247" t="s">
        <v>339</v>
      </c>
      <c r="B1247" t="s">
        <v>654</v>
      </c>
      <c r="C1247" t="s">
        <v>148</v>
      </c>
      <c r="D1247" t="s">
        <v>384</v>
      </c>
      <c r="E1247">
        <v>411</v>
      </c>
      <c r="F1247">
        <v>313</v>
      </c>
    </row>
    <row r="1248" spans="1:6" x14ac:dyDescent="0.2">
      <c r="A1248" t="s">
        <v>339</v>
      </c>
      <c r="B1248" t="s">
        <v>654</v>
      </c>
      <c r="C1248" t="s">
        <v>149</v>
      </c>
      <c r="D1248" t="s">
        <v>384</v>
      </c>
      <c r="E1248">
        <v>150</v>
      </c>
      <c r="F1248">
        <v>67</v>
      </c>
    </row>
    <row r="1249" spans="1:6" x14ac:dyDescent="0.2">
      <c r="A1249" t="s">
        <v>339</v>
      </c>
      <c r="B1249" t="s">
        <v>654</v>
      </c>
      <c r="C1249" t="s">
        <v>150</v>
      </c>
      <c r="D1249" t="s">
        <v>384</v>
      </c>
      <c r="E1249">
        <v>1380</v>
      </c>
      <c r="F1249">
        <v>755</v>
      </c>
    </row>
    <row r="1250" spans="1:6" x14ac:dyDescent="0.2">
      <c r="A1250" t="s">
        <v>339</v>
      </c>
      <c r="B1250" t="s">
        <v>654</v>
      </c>
      <c r="C1250" t="s">
        <v>360</v>
      </c>
      <c r="D1250" t="s">
        <v>384</v>
      </c>
      <c r="E1250">
        <v>8</v>
      </c>
      <c r="F1250">
        <v>6</v>
      </c>
    </row>
    <row r="1251" spans="1:6" x14ac:dyDescent="0.2">
      <c r="A1251" t="s">
        <v>339</v>
      </c>
      <c r="B1251" t="s">
        <v>654</v>
      </c>
      <c r="C1251" t="s">
        <v>151</v>
      </c>
      <c r="D1251" t="s">
        <v>384</v>
      </c>
      <c r="E1251">
        <v>76</v>
      </c>
      <c r="F1251">
        <v>44</v>
      </c>
    </row>
    <row r="1252" spans="1:6" x14ac:dyDescent="0.2">
      <c r="A1252" t="s">
        <v>339</v>
      </c>
      <c r="B1252" t="s">
        <v>654</v>
      </c>
      <c r="C1252" t="s">
        <v>869</v>
      </c>
      <c r="D1252" t="s">
        <v>384</v>
      </c>
      <c r="E1252">
        <v>19086</v>
      </c>
      <c r="F1252">
        <v>1440</v>
      </c>
    </row>
    <row r="1253" spans="1:6" x14ac:dyDescent="0.2">
      <c r="A1253" t="s">
        <v>339</v>
      </c>
      <c r="B1253" t="s">
        <v>654</v>
      </c>
      <c r="C1253" t="s">
        <v>152</v>
      </c>
      <c r="D1253" t="s">
        <v>384</v>
      </c>
      <c r="E1253">
        <v>1310</v>
      </c>
      <c r="F1253">
        <v>897</v>
      </c>
    </row>
    <row r="1254" spans="1:6" x14ac:dyDescent="0.2">
      <c r="A1254" t="s">
        <v>339</v>
      </c>
      <c r="B1254" t="s">
        <v>654</v>
      </c>
      <c r="C1254" t="s">
        <v>153</v>
      </c>
      <c r="D1254" t="s">
        <v>384</v>
      </c>
      <c r="E1254">
        <v>245</v>
      </c>
      <c r="F1254">
        <v>136</v>
      </c>
    </row>
    <row r="1255" spans="1:6" x14ac:dyDescent="0.2">
      <c r="A1255" t="s">
        <v>339</v>
      </c>
      <c r="B1255" t="s">
        <v>654</v>
      </c>
      <c r="C1255" t="s">
        <v>78</v>
      </c>
      <c r="D1255" t="s">
        <v>384</v>
      </c>
      <c r="E1255">
        <v>70</v>
      </c>
      <c r="F1255">
        <v>44</v>
      </c>
    </row>
    <row r="1256" spans="1:6" x14ac:dyDescent="0.2">
      <c r="A1256" t="s">
        <v>339</v>
      </c>
      <c r="B1256" t="s">
        <v>654</v>
      </c>
      <c r="C1256" t="s">
        <v>154</v>
      </c>
      <c r="D1256" t="s">
        <v>384</v>
      </c>
      <c r="E1256">
        <v>201</v>
      </c>
      <c r="F1256">
        <v>129</v>
      </c>
    </row>
    <row r="1257" spans="1:6" x14ac:dyDescent="0.2">
      <c r="A1257" t="s">
        <v>339</v>
      </c>
      <c r="B1257" t="s">
        <v>654</v>
      </c>
      <c r="C1257" t="s">
        <v>155</v>
      </c>
      <c r="D1257" t="s">
        <v>384</v>
      </c>
      <c r="E1257">
        <v>131</v>
      </c>
      <c r="F1257">
        <v>95</v>
      </c>
    </row>
    <row r="1258" spans="1:6" x14ac:dyDescent="0.2">
      <c r="A1258" t="s">
        <v>339</v>
      </c>
      <c r="B1258" t="s">
        <v>654</v>
      </c>
      <c r="C1258" t="s">
        <v>156</v>
      </c>
      <c r="D1258" t="s">
        <v>384</v>
      </c>
      <c r="E1258">
        <v>142</v>
      </c>
      <c r="F1258">
        <v>108</v>
      </c>
    </row>
    <row r="1259" spans="1:6" x14ac:dyDescent="0.2">
      <c r="A1259" t="s">
        <v>339</v>
      </c>
      <c r="B1259" t="s">
        <v>654</v>
      </c>
      <c r="C1259" t="s">
        <v>361</v>
      </c>
      <c r="D1259" t="s">
        <v>384</v>
      </c>
      <c r="E1259">
        <v>119</v>
      </c>
      <c r="F1259">
        <v>73</v>
      </c>
    </row>
    <row r="1260" spans="1:6" x14ac:dyDescent="0.2">
      <c r="A1260" t="s">
        <v>339</v>
      </c>
      <c r="B1260" t="s">
        <v>654</v>
      </c>
      <c r="C1260" t="s">
        <v>157</v>
      </c>
      <c r="D1260" t="s">
        <v>384</v>
      </c>
      <c r="E1260">
        <v>238</v>
      </c>
      <c r="F1260">
        <v>126</v>
      </c>
    </row>
    <row r="1261" spans="1:6" x14ac:dyDescent="0.2">
      <c r="A1261" t="s">
        <v>339</v>
      </c>
      <c r="B1261" t="s">
        <v>654</v>
      </c>
      <c r="C1261" t="s">
        <v>158</v>
      </c>
      <c r="D1261" t="s">
        <v>384</v>
      </c>
      <c r="E1261">
        <v>167</v>
      </c>
      <c r="F1261">
        <v>91</v>
      </c>
    </row>
    <row r="1262" spans="1:6" x14ac:dyDescent="0.2">
      <c r="A1262" t="s">
        <v>339</v>
      </c>
      <c r="B1262" t="s">
        <v>654</v>
      </c>
      <c r="C1262" t="s">
        <v>159</v>
      </c>
      <c r="D1262" t="s">
        <v>384</v>
      </c>
      <c r="E1262">
        <v>32</v>
      </c>
      <c r="F1262">
        <v>28</v>
      </c>
    </row>
    <row r="1263" spans="1:6" x14ac:dyDescent="0.2">
      <c r="A1263" t="s">
        <v>339</v>
      </c>
      <c r="B1263" t="s">
        <v>654</v>
      </c>
      <c r="C1263" t="s">
        <v>160</v>
      </c>
      <c r="D1263" t="s">
        <v>384</v>
      </c>
      <c r="E1263">
        <v>88</v>
      </c>
      <c r="F1263">
        <v>50</v>
      </c>
    </row>
    <row r="1264" spans="1:6" x14ac:dyDescent="0.2">
      <c r="A1264" t="s">
        <v>339</v>
      </c>
      <c r="B1264" t="s">
        <v>655</v>
      </c>
      <c r="C1264" t="s">
        <v>384</v>
      </c>
      <c r="D1264" t="s">
        <v>384</v>
      </c>
      <c r="E1264">
        <v>633</v>
      </c>
      <c r="F1264">
        <v>21</v>
      </c>
    </row>
    <row r="1265" spans="1:6" x14ac:dyDescent="0.2">
      <c r="A1265" t="s">
        <v>339</v>
      </c>
      <c r="B1265" t="s">
        <v>655</v>
      </c>
      <c r="C1265" t="s">
        <v>649</v>
      </c>
      <c r="D1265" t="s">
        <v>384</v>
      </c>
      <c r="E1265">
        <v>21477</v>
      </c>
      <c r="F1265">
        <v>3130</v>
      </c>
    </row>
    <row r="1266" spans="1:6" x14ac:dyDescent="0.2">
      <c r="A1266" t="s">
        <v>339</v>
      </c>
      <c r="B1266" t="s">
        <v>655</v>
      </c>
      <c r="C1266" t="s">
        <v>111</v>
      </c>
      <c r="D1266" t="s">
        <v>384</v>
      </c>
      <c r="E1266">
        <v>2</v>
      </c>
    </row>
    <row r="1267" spans="1:6" x14ac:dyDescent="0.2">
      <c r="A1267" t="s">
        <v>339</v>
      </c>
      <c r="B1267" t="s">
        <v>655</v>
      </c>
      <c r="C1267" t="s">
        <v>86</v>
      </c>
      <c r="D1267" t="s">
        <v>384</v>
      </c>
      <c r="E1267">
        <v>8425</v>
      </c>
      <c r="F1267">
        <v>1405</v>
      </c>
    </row>
    <row r="1268" spans="1:6" x14ac:dyDescent="0.2">
      <c r="A1268" t="s">
        <v>339</v>
      </c>
      <c r="B1268" t="s">
        <v>655</v>
      </c>
      <c r="C1268" t="s">
        <v>118</v>
      </c>
      <c r="D1268" t="s">
        <v>384</v>
      </c>
      <c r="E1268">
        <v>1</v>
      </c>
      <c r="F1268">
        <v>1</v>
      </c>
    </row>
    <row r="1269" spans="1:6" x14ac:dyDescent="0.2">
      <c r="A1269" t="s">
        <v>339</v>
      </c>
      <c r="B1269" t="s">
        <v>655</v>
      </c>
      <c r="C1269" t="s">
        <v>119</v>
      </c>
      <c r="D1269" t="s">
        <v>384</v>
      </c>
      <c r="E1269">
        <v>227</v>
      </c>
      <c r="F1269">
        <v>53</v>
      </c>
    </row>
    <row r="1270" spans="1:6" x14ac:dyDescent="0.2">
      <c r="A1270" t="s">
        <v>339</v>
      </c>
      <c r="B1270" t="s">
        <v>655</v>
      </c>
      <c r="C1270" t="s">
        <v>122</v>
      </c>
      <c r="D1270" t="s">
        <v>384</v>
      </c>
      <c r="E1270">
        <v>1</v>
      </c>
      <c r="F1270">
        <v>1</v>
      </c>
    </row>
    <row r="1271" spans="1:6" x14ac:dyDescent="0.2">
      <c r="A1271" t="s">
        <v>339</v>
      </c>
      <c r="B1271" t="s">
        <v>655</v>
      </c>
      <c r="C1271" t="s">
        <v>123</v>
      </c>
      <c r="D1271" t="s">
        <v>384</v>
      </c>
      <c r="E1271">
        <v>2</v>
      </c>
      <c r="F1271">
        <v>2</v>
      </c>
    </row>
    <row r="1272" spans="1:6" x14ac:dyDescent="0.2">
      <c r="A1272" t="s">
        <v>339</v>
      </c>
      <c r="B1272" t="s">
        <v>655</v>
      </c>
      <c r="C1272" t="s">
        <v>124</v>
      </c>
      <c r="D1272" t="s">
        <v>384</v>
      </c>
      <c r="E1272">
        <v>1</v>
      </c>
      <c r="F1272">
        <v>1</v>
      </c>
    </row>
    <row r="1273" spans="1:6" x14ac:dyDescent="0.2">
      <c r="A1273" t="s">
        <v>339</v>
      </c>
      <c r="B1273" t="s">
        <v>655</v>
      </c>
      <c r="C1273" t="s">
        <v>125</v>
      </c>
      <c r="D1273" t="s">
        <v>384</v>
      </c>
      <c r="E1273">
        <v>1</v>
      </c>
    </row>
    <row r="1274" spans="1:6" x14ac:dyDescent="0.2">
      <c r="A1274" t="s">
        <v>339</v>
      </c>
      <c r="B1274" t="s">
        <v>655</v>
      </c>
      <c r="C1274" t="s">
        <v>127</v>
      </c>
      <c r="D1274" t="s">
        <v>384</v>
      </c>
      <c r="E1274">
        <v>3</v>
      </c>
      <c r="F1274">
        <v>2</v>
      </c>
    </row>
    <row r="1275" spans="1:6" x14ac:dyDescent="0.2">
      <c r="A1275" t="s">
        <v>339</v>
      </c>
      <c r="B1275" t="s">
        <v>655</v>
      </c>
      <c r="C1275" t="s">
        <v>129</v>
      </c>
      <c r="D1275" t="s">
        <v>384</v>
      </c>
      <c r="E1275">
        <v>4</v>
      </c>
      <c r="F1275">
        <v>3</v>
      </c>
    </row>
    <row r="1276" spans="1:6" x14ac:dyDescent="0.2">
      <c r="A1276" t="s">
        <v>339</v>
      </c>
      <c r="B1276" t="s">
        <v>655</v>
      </c>
      <c r="C1276" t="s">
        <v>130</v>
      </c>
      <c r="D1276" t="s">
        <v>384</v>
      </c>
      <c r="E1276">
        <v>5452</v>
      </c>
      <c r="F1276">
        <v>565</v>
      </c>
    </row>
    <row r="1277" spans="1:6" x14ac:dyDescent="0.2">
      <c r="A1277" t="s">
        <v>339</v>
      </c>
      <c r="B1277" t="s">
        <v>655</v>
      </c>
      <c r="C1277" t="s">
        <v>131</v>
      </c>
      <c r="D1277" t="s">
        <v>384</v>
      </c>
      <c r="E1277">
        <v>5</v>
      </c>
      <c r="F1277">
        <v>3</v>
      </c>
    </row>
    <row r="1278" spans="1:6" x14ac:dyDescent="0.2">
      <c r="A1278" t="s">
        <v>339</v>
      </c>
      <c r="B1278" t="s">
        <v>655</v>
      </c>
      <c r="C1278" t="s">
        <v>133</v>
      </c>
      <c r="D1278" t="s">
        <v>384</v>
      </c>
      <c r="E1278">
        <v>3</v>
      </c>
    </row>
    <row r="1279" spans="1:6" x14ac:dyDescent="0.2">
      <c r="A1279" t="s">
        <v>339</v>
      </c>
      <c r="B1279" t="s">
        <v>655</v>
      </c>
      <c r="C1279" t="s">
        <v>134</v>
      </c>
      <c r="D1279" t="s">
        <v>384</v>
      </c>
      <c r="E1279">
        <v>6635</v>
      </c>
      <c r="F1279">
        <v>1032</v>
      </c>
    </row>
    <row r="1280" spans="1:6" x14ac:dyDescent="0.2">
      <c r="A1280" t="s">
        <v>339</v>
      </c>
      <c r="B1280" t="s">
        <v>655</v>
      </c>
      <c r="C1280" t="s">
        <v>137</v>
      </c>
      <c r="D1280" t="s">
        <v>384</v>
      </c>
      <c r="E1280">
        <v>1</v>
      </c>
    </row>
    <row r="1281" spans="1:6" x14ac:dyDescent="0.2">
      <c r="A1281" t="s">
        <v>339</v>
      </c>
      <c r="B1281" t="s">
        <v>655</v>
      </c>
      <c r="C1281" t="s">
        <v>140</v>
      </c>
      <c r="D1281" t="s">
        <v>384</v>
      </c>
      <c r="E1281">
        <v>1</v>
      </c>
      <c r="F1281">
        <v>1</v>
      </c>
    </row>
    <row r="1282" spans="1:6" x14ac:dyDescent="0.2">
      <c r="A1282" t="s">
        <v>339</v>
      </c>
      <c r="B1282" t="s">
        <v>655</v>
      </c>
      <c r="C1282" t="s">
        <v>141</v>
      </c>
      <c r="D1282" t="s">
        <v>384</v>
      </c>
      <c r="E1282">
        <v>2</v>
      </c>
    </row>
    <row r="1283" spans="1:6" x14ac:dyDescent="0.2">
      <c r="A1283" t="s">
        <v>339</v>
      </c>
      <c r="B1283" t="s">
        <v>655</v>
      </c>
      <c r="C1283" t="s">
        <v>143</v>
      </c>
      <c r="D1283" t="s">
        <v>384</v>
      </c>
      <c r="E1283">
        <v>3</v>
      </c>
      <c r="F1283">
        <v>3</v>
      </c>
    </row>
    <row r="1284" spans="1:6" x14ac:dyDescent="0.2">
      <c r="A1284" t="s">
        <v>339</v>
      </c>
      <c r="B1284" t="s">
        <v>655</v>
      </c>
      <c r="C1284" t="s">
        <v>144</v>
      </c>
      <c r="D1284" t="s">
        <v>384</v>
      </c>
      <c r="E1284">
        <v>2</v>
      </c>
      <c r="F1284">
        <v>1</v>
      </c>
    </row>
    <row r="1285" spans="1:6" x14ac:dyDescent="0.2">
      <c r="A1285" t="s">
        <v>339</v>
      </c>
      <c r="B1285" t="s">
        <v>655</v>
      </c>
      <c r="C1285" t="s">
        <v>146</v>
      </c>
      <c r="D1285" t="s">
        <v>384</v>
      </c>
      <c r="E1285">
        <v>1</v>
      </c>
      <c r="F1285">
        <v>1</v>
      </c>
    </row>
    <row r="1286" spans="1:6" x14ac:dyDescent="0.2">
      <c r="A1286" t="s">
        <v>339</v>
      </c>
      <c r="B1286" t="s">
        <v>655</v>
      </c>
      <c r="C1286" t="s">
        <v>149</v>
      </c>
      <c r="D1286" t="s">
        <v>384</v>
      </c>
      <c r="E1286">
        <v>58</v>
      </c>
      <c r="F1286">
        <v>26</v>
      </c>
    </row>
    <row r="1287" spans="1:6" x14ac:dyDescent="0.2">
      <c r="A1287" t="s">
        <v>339</v>
      </c>
      <c r="B1287" t="s">
        <v>655</v>
      </c>
      <c r="C1287" t="s">
        <v>150</v>
      </c>
      <c r="D1287" t="s">
        <v>384</v>
      </c>
      <c r="E1287">
        <v>11</v>
      </c>
      <c r="F1287">
        <v>6</v>
      </c>
    </row>
    <row r="1288" spans="1:6" x14ac:dyDescent="0.2">
      <c r="A1288" t="s">
        <v>339</v>
      </c>
      <c r="B1288" t="s">
        <v>655</v>
      </c>
      <c r="C1288" t="s">
        <v>151</v>
      </c>
      <c r="D1288" t="s">
        <v>384</v>
      </c>
      <c r="E1288">
        <v>1</v>
      </c>
      <c r="F1288">
        <v>1</v>
      </c>
    </row>
    <row r="1289" spans="1:6" x14ac:dyDescent="0.2">
      <c r="A1289" t="s">
        <v>339</v>
      </c>
      <c r="B1289" t="s">
        <v>655</v>
      </c>
      <c r="C1289" t="s">
        <v>157</v>
      </c>
      <c r="D1289" t="s">
        <v>384</v>
      </c>
      <c r="E1289">
        <v>1</v>
      </c>
      <c r="F1289">
        <v>1</v>
      </c>
    </row>
    <row r="1290" spans="1:6" x14ac:dyDescent="0.2">
      <c r="A1290" t="s">
        <v>339</v>
      </c>
      <c r="B1290" t="s">
        <v>655</v>
      </c>
      <c r="C1290" t="s">
        <v>158</v>
      </c>
      <c r="D1290" t="s">
        <v>384</v>
      </c>
      <c r="E1290">
        <v>1</v>
      </c>
      <c r="F1290">
        <v>1</v>
      </c>
    </row>
    <row r="1291" spans="1:6" x14ac:dyDescent="0.2">
      <c r="A1291" t="s">
        <v>339</v>
      </c>
      <c r="B1291" t="s">
        <v>656</v>
      </c>
      <c r="C1291" t="s">
        <v>384</v>
      </c>
      <c r="D1291" t="s">
        <v>384</v>
      </c>
      <c r="E1291">
        <v>217</v>
      </c>
      <c r="F1291">
        <v>58</v>
      </c>
    </row>
    <row r="1292" spans="1:6" x14ac:dyDescent="0.2">
      <c r="A1292" t="s">
        <v>339</v>
      </c>
      <c r="B1292" t="s">
        <v>656</v>
      </c>
      <c r="C1292" t="s">
        <v>649</v>
      </c>
      <c r="D1292" t="s">
        <v>384</v>
      </c>
      <c r="E1292">
        <v>3063</v>
      </c>
      <c r="F1292">
        <v>2652</v>
      </c>
    </row>
    <row r="1293" spans="1:6" x14ac:dyDescent="0.2">
      <c r="A1293" t="s">
        <v>339</v>
      </c>
      <c r="B1293" t="s">
        <v>656</v>
      </c>
      <c r="C1293" t="s">
        <v>109</v>
      </c>
      <c r="D1293" t="s">
        <v>384</v>
      </c>
      <c r="E1293">
        <v>12</v>
      </c>
      <c r="F1293">
        <v>12</v>
      </c>
    </row>
    <row r="1294" spans="1:6" x14ac:dyDescent="0.2">
      <c r="A1294" t="s">
        <v>339</v>
      </c>
      <c r="B1294" t="s">
        <v>656</v>
      </c>
      <c r="C1294" t="s">
        <v>110</v>
      </c>
      <c r="D1294" t="s">
        <v>384</v>
      </c>
      <c r="E1294">
        <v>6</v>
      </c>
      <c r="F1294">
        <v>2</v>
      </c>
    </row>
    <row r="1295" spans="1:6" x14ac:dyDescent="0.2">
      <c r="A1295" t="s">
        <v>339</v>
      </c>
      <c r="B1295" t="s">
        <v>656</v>
      </c>
      <c r="C1295" t="s">
        <v>111</v>
      </c>
      <c r="D1295" t="s">
        <v>384</v>
      </c>
      <c r="E1295">
        <v>6</v>
      </c>
      <c r="F1295">
        <v>4</v>
      </c>
    </row>
    <row r="1296" spans="1:6" x14ac:dyDescent="0.2">
      <c r="A1296" t="s">
        <v>339</v>
      </c>
      <c r="B1296" t="s">
        <v>656</v>
      </c>
      <c r="C1296" t="s">
        <v>112</v>
      </c>
      <c r="D1296" t="s">
        <v>384</v>
      </c>
      <c r="E1296">
        <v>4</v>
      </c>
      <c r="F1296">
        <v>3</v>
      </c>
    </row>
    <row r="1297" spans="1:6" x14ac:dyDescent="0.2">
      <c r="A1297" t="s">
        <v>339</v>
      </c>
      <c r="B1297" t="s">
        <v>656</v>
      </c>
      <c r="C1297" t="s">
        <v>113</v>
      </c>
      <c r="D1297" t="s">
        <v>384</v>
      </c>
      <c r="E1297">
        <v>3</v>
      </c>
      <c r="F1297">
        <v>3</v>
      </c>
    </row>
    <row r="1298" spans="1:6" x14ac:dyDescent="0.2">
      <c r="A1298" t="s">
        <v>339</v>
      </c>
      <c r="B1298" t="s">
        <v>656</v>
      </c>
      <c r="C1298" t="s">
        <v>114</v>
      </c>
      <c r="D1298" t="s">
        <v>384</v>
      </c>
      <c r="E1298">
        <v>10</v>
      </c>
      <c r="F1298">
        <v>7</v>
      </c>
    </row>
    <row r="1299" spans="1:6" x14ac:dyDescent="0.2">
      <c r="A1299" t="s">
        <v>339</v>
      </c>
      <c r="B1299" t="s">
        <v>656</v>
      </c>
      <c r="C1299" t="s">
        <v>115</v>
      </c>
      <c r="D1299" t="s">
        <v>384</v>
      </c>
      <c r="E1299">
        <v>3</v>
      </c>
      <c r="F1299">
        <v>2</v>
      </c>
    </row>
    <row r="1300" spans="1:6" x14ac:dyDescent="0.2">
      <c r="A1300" t="s">
        <v>339</v>
      </c>
      <c r="B1300" t="s">
        <v>656</v>
      </c>
      <c r="C1300" t="s">
        <v>116</v>
      </c>
      <c r="D1300" t="s">
        <v>384</v>
      </c>
      <c r="E1300">
        <v>33</v>
      </c>
      <c r="F1300">
        <v>32</v>
      </c>
    </row>
    <row r="1301" spans="1:6" x14ac:dyDescent="0.2">
      <c r="A1301" t="s">
        <v>339</v>
      </c>
      <c r="B1301" t="s">
        <v>656</v>
      </c>
      <c r="C1301" t="s">
        <v>89</v>
      </c>
      <c r="D1301" t="s">
        <v>384</v>
      </c>
      <c r="E1301">
        <v>26</v>
      </c>
      <c r="F1301">
        <v>24</v>
      </c>
    </row>
    <row r="1302" spans="1:6" x14ac:dyDescent="0.2">
      <c r="A1302" t="s">
        <v>339</v>
      </c>
      <c r="B1302" t="s">
        <v>656</v>
      </c>
      <c r="C1302" t="s">
        <v>117</v>
      </c>
      <c r="D1302" t="s">
        <v>384</v>
      </c>
      <c r="E1302">
        <v>18</v>
      </c>
      <c r="F1302">
        <v>15</v>
      </c>
    </row>
    <row r="1303" spans="1:6" x14ac:dyDescent="0.2">
      <c r="A1303" t="s">
        <v>339</v>
      </c>
      <c r="B1303" t="s">
        <v>656</v>
      </c>
      <c r="C1303" t="s">
        <v>118</v>
      </c>
      <c r="D1303" t="s">
        <v>384</v>
      </c>
      <c r="E1303">
        <v>82</v>
      </c>
      <c r="F1303">
        <v>71</v>
      </c>
    </row>
    <row r="1304" spans="1:6" x14ac:dyDescent="0.2">
      <c r="A1304" t="s">
        <v>339</v>
      </c>
      <c r="B1304" t="s">
        <v>656</v>
      </c>
      <c r="C1304" t="s">
        <v>119</v>
      </c>
      <c r="D1304" t="s">
        <v>384</v>
      </c>
      <c r="E1304">
        <v>298</v>
      </c>
      <c r="F1304">
        <v>272</v>
      </c>
    </row>
    <row r="1305" spans="1:6" x14ac:dyDescent="0.2">
      <c r="A1305" t="s">
        <v>339</v>
      </c>
      <c r="B1305" t="s">
        <v>656</v>
      </c>
      <c r="C1305" t="s">
        <v>120</v>
      </c>
      <c r="D1305" t="s">
        <v>384</v>
      </c>
      <c r="E1305">
        <v>16</v>
      </c>
      <c r="F1305">
        <v>15</v>
      </c>
    </row>
    <row r="1306" spans="1:6" x14ac:dyDescent="0.2">
      <c r="A1306" t="s">
        <v>339</v>
      </c>
      <c r="B1306" t="s">
        <v>656</v>
      </c>
      <c r="C1306" t="s">
        <v>121</v>
      </c>
      <c r="D1306" t="s">
        <v>384</v>
      </c>
      <c r="E1306">
        <v>73</v>
      </c>
      <c r="F1306">
        <v>60</v>
      </c>
    </row>
    <row r="1307" spans="1:6" x14ac:dyDescent="0.2">
      <c r="A1307" t="s">
        <v>339</v>
      </c>
      <c r="B1307" t="s">
        <v>656</v>
      </c>
      <c r="C1307" t="s">
        <v>80</v>
      </c>
      <c r="D1307" t="s">
        <v>384</v>
      </c>
      <c r="E1307">
        <v>211</v>
      </c>
      <c r="F1307">
        <v>207</v>
      </c>
    </row>
    <row r="1308" spans="1:6" x14ac:dyDescent="0.2">
      <c r="A1308" t="s">
        <v>339</v>
      </c>
      <c r="B1308" t="s">
        <v>656</v>
      </c>
      <c r="C1308" t="s">
        <v>122</v>
      </c>
      <c r="D1308" t="s">
        <v>384</v>
      </c>
      <c r="E1308">
        <v>62</v>
      </c>
      <c r="F1308">
        <v>60</v>
      </c>
    </row>
    <row r="1309" spans="1:6" x14ac:dyDescent="0.2">
      <c r="A1309" t="s">
        <v>339</v>
      </c>
      <c r="B1309" t="s">
        <v>656</v>
      </c>
      <c r="C1309" t="s">
        <v>123</v>
      </c>
      <c r="D1309" t="s">
        <v>384</v>
      </c>
      <c r="E1309">
        <v>336</v>
      </c>
      <c r="F1309">
        <v>318</v>
      </c>
    </row>
    <row r="1310" spans="1:6" x14ac:dyDescent="0.2">
      <c r="A1310" t="s">
        <v>339</v>
      </c>
      <c r="B1310" t="s">
        <v>656</v>
      </c>
      <c r="C1310" t="s">
        <v>124</v>
      </c>
      <c r="D1310" t="s">
        <v>384</v>
      </c>
      <c r="E1310">
        <v>81</v>
      </c>
      <c r="F1310">
        <v>59</v>
      </c>
    </row>
    <row r="1311" spans="1:6" x14ac:dyDescent="0.2">
      <c r="A1311" t="s">
        <v>339</v>
      </c>
      <c r="B1311" t="s">
        <v>656</v>
      </c>
      <c r="C1311" t="s">
        <v>125</v>
      </c>
      <c r="D1311" t="s">
        <v>384</v>
      </c>
      <c r="E1311">
        <v>101</v>
      </c>
      <c r="F1311">
        <v>91</v>
      </c>
    </row>
    <row r="1312" spans="1:6" x14ac:dyDescent="0.2">
      <c r="A1312" t="s">
        <v>339</v>
      </c>
      <c r="B1312" t="s">
        <v>656</v>
      </c>
      <c r="C1312" t="s">
        <v>126</v>
      </c>
      <c r="D1312" t="s">
        <v>384</v>
      </c>
      <c r="E1312">
        <v>144</v>
      </c>
      <c r="F1312">
        <v>142</v>
      </c>
    </row>
    <row r="1313" spans="1:6" x14ac:dyDescent="0.2">
      <c r="A1313" t="s">
        <v>339</v>
      </c>
      <c r="B1313" t="s">
        <v>656</v>
      </c>
      <c r="C1313" t="s">
        <v>127</v>
      </c>
      <c r="D1313" t="s">
        <v>384</v>
      </c>
      <c r="E1313">
        <v>179</v>
      </c>
      <c r="F1313">
        <v>171</v>
      </c>
    </row>
    <row r="1314" spans="1:6" x14ac:dyDescent="0.2">
      <c r="A1314" t="s">
        <v>339</v>
      </c>
      <c r="B1314" t="s">
        <v>656</v>
      </c>
      <c r="C1314" t="s">
        <v>128</v>
      </c>
      <c r="D1314" t="s">
        <v>384</v>
      </c>
      <c r="E1314">
        <v>91</v>
      </c>
      <c r="F1314">
        <v>85</v>
      </c>
    </row>
    <row r="1315" spans="1:6" x14ac:dyDescent="0.2">
      <c r="A1315" t="s">
        <v>339</v>
      </c>
      <c r="B1315" t="s">
        <v>656</v>
      </c>
      <c r="C1315" t="s">
        <v>129</v>
      </c>
      <c r="D1315" t="s">
        <v>384</v>
      </c>
      <c r="E1315">
        <v>44</v>
      </c>
      <c r="F1315">
        <v>34</v>
      </c>
    </row>
    <row r="1316" spans="1:6" x14ac:dyDescent="0.2">
      <c r="A1316" t="s">
        <v>339</v>
      </c>
      <c r="B1316" t="s">
        <v>656</v>
      </c>
      <c r="C1316" t="s">
        <v>131</v>
      </c>
      <c r="D1316" t="s">
        <v>384</v>
      </c>
      <c r="E1316">
        <v>31</v>
      </c>
      <c r="F1316">
        <v>22</v>
      </c>
    </row>
    <row r="1317" spans="1:6" x14ac:dyDescent="0.2">
      <c r="A1317" t="s">
        <v>339</v>
      </c>
      <c r="B1317" t="s">
        <v>656</v>
      </c>
      <c r="C1317" t="s">
        <v>132</v>
      </c>
      <c r="D1317" t="s">
        <v>384</v>
      </c>
      <c r="E1317">
        <v>14</v>
      </c>
      <c r="F1317">
        <v>12</v>
      </c>
    </row>
    <row r="1318" spans="1:6" x14ac:dyDescent="0.2">
      <c r="A1318" t="s">
        <v>339</v>
      </c>
      <c r="B1318" t="s">
        <v>656</v>
      </c>
      <c r="C1318" t="s">
        <v>133</v>
      </c>
      <c r="D1318" t="s">
        <v>384</v>
      </c>
      <c r="E1318">
        <v>8</v>
      </c>
      <c r="F1318">
        <v>6</v>
      </c>
    </row>
    <row r="1319" spans="1:6" x14ac:dyDescent="0.2">
      <c r="A1319" t="s">
        <v>339</v>
      </c>
      <c r="B1319" t="s">
        <v>656</v>
      </c>
      <c r="C1319" t="s">
        <v>135</v>
      </c>
      <c r="D1319" t="s">
        <v>384</v>
      </c>
      <c r="E1319">
        <v>11</v>
      </c>
      <c r="F1319">
        <v>10</v>
      </c>
    </row>
    <row r="1320" spans="1:6" x14ac:dyDescent="0.2">
      <c r="A1320" t="s">
        <v>339</v>
      </c>
      <c r="B1320" t="s">
        <v>656</v>
      </c>
      <c r="C1320" t="s">
        <v>136</v>
      </c>
      <c r="D1320" t="s">
        <v>384</v>
      </c>
      <c r="E1320">
        <v>4</v>
      </c>
      <c r="F1320">
        <v>3</v>
      </c>
    </row>
    <row r="1321" spans="1:6" x14ac:dyDescent="0.2">
      <c r="A1321" t="s">
        <v>339</v>
      </c>
      <c r="B1321" t="s">
        <v>656</v>
      </c>
      <c r="C1321" t="s">
        <v>137</v>
      </c>
      <c r="D1321" t="s">
        <v>384</v>
      </c>
      <c r="E1321">
        <v>6</v>
      </c>
      <c r="F1321">
        <v>5</v>
      </c>
    </row>
    <row r="1322" spans="1:6" x14ac:dyDescent="0.2">
      <c r="A1322" t="s">
        <v>339</v>
      </c>
      <c r="B1322" t="s">
        <v>656</v>
      </c>
      <c r="C1322" t="s">
        <v>138</v>
      </c>
      <c r="D1322" t="s">
        <v>384</v>
      </c>
      <c r="E1322">
        <v>71</v>
      </c>
      <c r="F1322">
        <v>61</v>
      </c>
    </row>
    <row r="1323" spans="1:6" x14ac:dyDescent="0.2">
      <c r="A1323" t="s">
        <v>339</v>
      </c>
      <c r="B1323" t="s">
        <v>656</v>
      </c>
      <c r="C1323" t="s">
        <v>139</v>
      </c>
      <c r="D1323" t="s">
        <v>384</v>
      </c>
      <c r="E1323">
        <v>66</v>
      </c>
      <c r="F1323">
        <v>64</v>
      </c>
    </row>
    <row r="1324" spans="1:6" x14ac:dyDescent="0.2">
      <c r="A1324" t="s">
        <v>339</v>
      </c>
      <c r="B1324" t="s">
        <v>656</v>
      </c>
      <c r="C1324" t="s">
        <v>140</v>
      </c>
      <c r="D1324" t="s">
        <v>384</v>
      </c>
      <c r="E1324">
        <v>60</v>
      </c>
      <c r="F1324">
        <v>56</v>
      </c>
    </row>
    <row r="1325" spans="1:6" x14ac:dyDescent="0.2">
      <c r="A1325" t="s">
        <v>339</v>
      </c>
      <c r="B1325" t="s">
        <v>656</v>
      </c>
      <c r="C1325" t="s">
        <v>141</v>
      </c>
      <c r="D1325" t="s">
        <v>384</v>
      </c>
      <c r="E1325">
        <v>56</v>
      </c>
      <c r="F1325">
        <v>52</v>
      </c>
    </row>
    <row r="1326" spans="1:6" x14ac:dyDescent="0.2">
      <c r="A1326" t="s">
        <v>339</v>
      </c>
      <c r="B1326" t="s">
        <v>656</v>
      </c>
      <c r="C1326" t="s">
        <v>142</v>
      </c>
      <c r="D1326" t="s">
        <v>384</v>
      </c>
      <c r="E1326">
        <v>9</v>
      </c>
      <c r="F1326">
        <v>7</v>
      </c>
    </row>
    <row r="1327" spans="1:6" x14ac:dyDescent="0.2">
      <c r="A1327" t="s">
        <v>339</v>
      </c>
      <c r="B1327" t="s">
        <v>656</v>
      </c>
      <c r="C1327" t="s">
        <v>143</v>
      </c>
      <c r="D1327" t="s">
        <v>384</v>
      </c>
      <c r="E1327">
        <v>92</v>
      </c>
      <c r="F1327">
        <v>78</v>
      </c>
    </row>
    <row r="1328" spans="1:6" x14ac:dyDescent="0.2">
      <c r="A1328" t="s">
        <v>339</v>
      </c>
      <c r="B1328" t="s">
        <v>656</v>
      </c>
      <c r="C1328" t="s">
        <v>144</v>
      </c>
      <c r="D1328" t="s">
        <v>384</v>
      </c>
      <c r="E1328">
        <v>113</v>
      </c>
      <c r="F1328">
        <v>105</v>
      </c>
    </row>
    <row r="1329" spans="1:6" x14ac:dyDescent="0.2">
      <c r="A1329" t="s">
        <v>339</v>
      </c>
      <c r="B1329" t="s">
        <v>656</v>
      </c>
      <c r="C1329" t="s">
        <v>145</v>
      </c>
      <c r="D1329" t="s">
        <v>384</v>
      </c>
      <c r="E1329">
        <v>29</v>
      </c>
      <c r="F1329">
        <v>22</v>
      </c>
    </row>
    <row r="1330" spans="1:6" x14ac:dyDescent="0.2">
      <c r="A1330" t="s">
        <v>339</v>
      </c>
      <c r="B1330" t="s">
        <v>656</v>
      </c>
      <c r="C1330" t="s">
        <v>146</v>
      </c>
      <c r="D1330" t="s">
        <v>384</v>
      </c>
      <c r="E1330">
        <v>20</v>
      </c>
      <c r="F1330">
        <v>18</v>
      </c>
    </row>
    <row r="1331" spans="1:6" x14ac:dyDescent="0.2">
      <c r="A1331" t="s">
        <v>339</v>
      </c>
      <c r="B1331" t="s">
        <v>656</v>
      </c>
      <c r="C1331" t="s">
        <v>147</v>
      </c>
      <c r="D1331" t="s">
        <v>384</v>
      </c>
      <c r="E1331">
        <v>84</v>
      </c>
      <c r="F1331">
        <v>82</v>
      </c>
    </row>
    <row r="1332" spans="1:6" x14ac:dyDescent="0.2">
      <c r="A1332" t="s">
        <v>339</v>
      </c>
      <c r="B1332" t="s">
        <v>656</v>
      </c>
      <c r="C1332" t="s">
        <v>148</v>
      </c>
      <c r="D1332" t="s">
        <v>384</v>
      </c>
      <c r="E1332">
        <v>6</v>
      </c>
      <c r="F1332">
        <v>6</v>
      </c>
    </row>
    <row r="1333" spans="1:6" x14ac:dyDescent="0.2">
      <c r="A1333" t="s">
        <v>339</v>
      </c>
      <c r="B1333" t="s">
        <v>656</v>
      </c>
      <c r="C1333" t="s">
        <v>149</v>
      </c>
      <c r="D1333" t="s">
        <v>384</v>
      </c>
      <c r="E1333">
        <v>128</v>
      </c>
      <c r="F1333">
        <v>124</v>
      </c>
    </row>
    <row r="1334" spans="1:6" x14ac:dyDescent="0.2">
      <c r="A1334" t="s">
        <v>339</v>
      </c>
      <c r="B1334" t="s">
        <v>656</v>
      </c>
      <c r="C1334" t="s">
        <v>150</v>
      </c>
      <c r="D1334" t="s">
        <v>384</v>
      </c>
      <c r="E1334">
        <v>135</v>
      </c>
      <c r="F1334">
        <v>125</v>
      </c>
    </row>
    <row r="1335" spans="1:6" x14ac:dyDescent="0.2">
      <c r="A1335" t="s">
        <v>339</v>
      </c>
      <c r="B1335" t="s">
        <v>656</v>
      </c>
      <c r="C1335" t="s">
        <v>151</v>
      </c>
      <c r="D1335" t="s">
        <v>384</v>
      </c>
      <c r="E1335">
        <v>2</v>
      </c>
      <c r="F1335">
        <v>1</v>
      </c>
    </row>
    <row r="1336" spans="1:6" x14ac:dyDescent="0.2">
      <c r="A1336" t="s">
        <v>339</v>
      </c>
      <c r="B1336" t="s">
        <v>656</v>
      </c>
      <c r="C1336" t="s">
        <v>152</v>
      </c>
      <c r="D1336" t="s">
        <v>384</v>
      </c>
      <c r="E1336">
        <v>35</v>
      </c>
      <c r="F1336">
        <v>26</v>
      </c>
    </row>
    <row r="1337" spans="1:6" x14ac:dyDescent="0.2">
      <c r="A1337" t="s">
        <v>339</v>
      </c>
      <c r="B1337" t="s">
        <v>656</v>
      </c>
      <c r="C1337" t="s">
        <v>153</v>
      </c>
      <c r="D1337" t="s">
        <v>384</v>
      </c>
      <c r="E1337">
        <v>4</v>
      </c>
      <c r="F1337">
        <v>4</v>
      </c>
    </row>
    <row r="1338" spans="1:6" x14ac:dyDescent="0.2">
      <c r="A1338" t="s">
        <v>339</v>
      </c>
      <c r="B1338" t="s">
        <v>656</v>
      </c>
      <c r="C1338" t="s">
        <v>78</v>
      </c>
      <c r="D1338" t="s">
        <v>384</v>
      </c>
      <c r="E1338">
        <v>3</v>
      </c>
      <c r="F1338">
        <v>2</v>
      </c>
    </row>
    <row r="1339" spans="1:6" x14ac:dyDescent="0.2">
      <c r="A1339" t="s">
        <v>339</v>
      </c>
      <c r="B1339" t="s">
        <v>656</v>
      </c>
      <c r="C1339" t="s">
        <v>154</v>
      </c>
      <c r="D1339" t="s">
        <v>384</v>
      </c>
      <c r="E1339">
        <v>3</v>
      </c>
      <c r="F1339">
        <v>2</v>
      </c>
    </row>
    <row r="1340" spans="1:6" x14ac:dyDescent="0.2">
      <c r="A1340" t="s">
        <v>339</v>
      </c>
      <c r="B1340" t="s">
        <v>656</v>
      </c>
      <c r="C1340" t="s">
        <v>155</v>
      </c>
      <c r="D1340" t="s">
        <v>384</v>
      </c>
      <c r="E1340">
        <v>4</v>
      </c>
      <c r="F1340">
        <v>3</v>
      </c>
    </row>
    <row r="1341" spans="1:6" x14ac:dyDescent="0.2">
      <c r="A1341" t="s">
        <v>339</v>
      </c>
      <c r="B1341" t="s">
        <v>656</v>
      </c>
      <c r="C1341" t="s">
        <v>361</v>
      </c>
      <c r="D1341" t="s">
        <v>384</v>
      </c>
      <c r="E1341">
        <v>1</v>
      </c>
    </row>
    <row r="1342" spans="1:6" x14ac:dyDescent="0.2">
      <c r="A1342" t="s">
        <v>339</v>
      </c>
      <c r="B1342" t="s">
        <v>656</v>
      </c>
      <c r="C1342" t="s">
        <v>157</v>
      </c>
      <c r="D1342" t="s">
        <v>384</v>
      </c>
      <c r="E1342">
        <v>8</v>
      </c>
      <c r="F1342">
        <v>5</v>
      </c>
    </row>
    <row r="1343" spans="1:6" x14ac:dyDescent="0.2">
      <c r="A1343" t="s">
        <v>339</v>
      </c>
      <c r="B1343" t="s">
        <v>656</v>
      </c>
      <c r="C1343" t="s">
        <v>158</v>
      </c>
      <c r="D1343" t="s">
        <v>384</v>
      </c>
      <c r="E1343">
        <v>2</v>
      </c>
      <c r="F1343">
        <v>2</v>
      </c>
    </row>
    <row r="1344" spans="1:6" x14ac:dyDescent="0.2">
      <c r="A1344" t="s">
        <v>339</v>
      </c>
      <c r="B1344" t="s">
        <v>656</v>
      </c>
      <c r="C1344" t="s">
        <v>160</v>
      </c>
      <c r="D1344" t="s">
        <v>384</v>
      </c>
      <c r="E1344">
        <v>2</v>
      </c>
      <c r="F1344">
        <v>2</v>
      </c>
    </row>
    <row r="1345" spans="1:6" x14ac:dyDescent="0.2">
      <c r="A1345" t="s">
        <v>339</v>
      </c>
      <c r="B1345" t="s">
        <v>657</v>
      </c>
      <c r="C1345" t="s">
        <v>384</v>
      </c>
      <c r="D1345" t="s">
        <v>384</v>
      </c>
      <c r="E1345">
        <v>911</v>
      </c>
      <c r="F1345">
        <v>166</v>
      </c>
    </row>
    <row r="1346" spans="1:6" x14ac:dyDescent="0.2">
      <c r="A1346" t="s">
        <v>339</v>
      </c>
      <c r="B1346" t="s">
        <v>657</v>
      </c>
      <c r="C1346" t="s">
        <v>649</v>
      </c>
      <c r="D1346" t="s">
        <v>384</v>
      </c>
      <c r="E1346">
        <v>29407</v>
      </c>
      <c r="F1346">
        <v>7785</v>
      </c>
    </row>
    <row r="1347" spans="1:6" x14ac:dyDescent="0.2">
      <c r="A1347" t="s">
        <v>339</v>
      </c>
      <c r="B1347" t="s">
        <v>657</v>
      </c>
      <c r="C1347" t="s">
        <v>86</v>
      </c>
      <c r="D1347" t="s">
        <v>384</v>
      </c>
      <c r="E1347">
        <v>11786</v>
      </c>
      <c r="F1347">
        <v>3732</v>
      </c>
    </row>
    <row r="1348" spans="1:6" x14ac:dyDescent="0.2">
      <c r="A1348" t="s">
        <v>339</v>
      </c>
      <c r="B1348" t="s">
        <v>657</v>
      </c>
      <c r="C1348" t="s">
        <v>130</v>
      </c>
      <c r="D1348" t="s">
        <v>384</v>
      </c>
      <c r="E1348">
        <v>8227</v>
      </c>
      <c r="F1348">
        <v>1563</v>
      </c>
    </row>
    <row r="1349" spans="1:6" x14ac:dyDescent="0.2">
      <c r="A1349" t="s">
        <v>339</v>
      </c>
      <c r="B1349" t="s">
        <v>657</v>
      </c>
      <c r="C1349" t="s">
        <v>134</v>
      </c>
      <c r="D1349" t="s">
        <v>384</v>
      </c>
      <c r="E1349">
        <v>8483</v>
      </c>
      <c r="F1349">
        <v>2324</v>
      </c>
    </row>
    <row r="1350" spans="1:6" x14ac:dyDescent="0.2">
      <c r="A1350" t="s">
        <v>339</v>
      </c>
      <c r="B1350" t="s">
        <v>658</v>
      </c>
      <c r="C1350" t="s">
        <v>384</v>
      </c>
      <c r="D1350" t="s">
        <v>384</v>
      </c>
      <c r="E1350">
        <v>1699</v>
      </c>
      <c r="F1350">
        <v>250</v>
      </c>
    </row>
    <row r="1351" spans="1:6" x14ac:dyDescent="0.2">
      <c r="A1351" t="s">
        <v>339</v>
      </c>
      <c r="B1351" t="s">
        <v>658</v>
      </c>
      <c r="C1351" t="s">
        <v>649</v>
      </c>
      <c r="D1351" t="s">
        <v>384</v>
      </c>
      <c r="E1351">
        <v>18116</v>
      </c>
      <c r="F1351">
        <v>3316</v>
      </c>
    </row>
    <row r="1352" spans="1:6" x14ac:dyDescent="0.2">
      <c r="A1352" t="s">
        <v>339</v>
      </c>
      <c r="B1352" t="s">
        <v>658</v>
      </c>
      <c r="C1352" t="s">
        <v>86</v>
      </c>
      <c r="D1352" t="s">
        <v>384</v>
      </c>
      <c r="E1352">
        <v>5793</v>
      </c>
      <c r="F1352">
        <v>1165</v>
      </c>
    </row>
    <row r="1353" spans="1:6" x14ac:dyDescent="0.2">
      <c r="A1353" t="s">
        <v>339</v>
      </c>
      <c r="B1353" t="s">
        <v>658</v>
      </c>
      <c r="C1353" t="s">
        <v>130</v>
      </c>
      <c r="D1353" t="s">
        <v>384</v>
      </c>
      <c r="E1353">
        <v>5928</v>
      </c>
      <c r="F1353">
        <v>943</v>
      </c>
    </row>
    <row r="1354" spans="1:6" x14ac:dyDescent="0.2">
      <c r="A1354" t="s">
        <v>339</v>
      </c>
      <c r="B1354" t="s">
        <v>658</v>
      </c>
      <c r="C1354" t="s">
        <v>134</v>
      </c>
      <c r="D1354" t="s">
        <v>384</v>
      </c>
      <c r="E1354">
        <v>4696</v>
      </c>
      <c r="F1354">
        <v>958</v>
      </c>
    </row>
    <row r="1355" spans="1:6" x14ac:dyDescent="0.2">
      <c r="A1355" t="s">
        <v>339</v>
      </c>
      <c r="B1355" t="s">
        <v>659</v>
      </c>
      <c r="C1355" t="s">
        <v>384</v>
      </c>
      <c r="D1355" t="s">
        <v>384</v>
      </c>
      <c r="E1355">
        <v>249</v>
      </c>
      <c r="F1355">
        <v>4</v>
      </c>
    </row>
    <row r="1356" spans="1:6" x14ac:dyDescent="0.2">
      <c r="A1356" t="s">
        <v>339</v>
      </c>
      <c r="B1356" t="s">
        <v>659</v>
      </c>
      <c r="C1356" t="s">
        <v>649</v>
      </c>
      <c r="D1356" t="s">
        <v>384</v>
      </c>
      <c r="E1356">
        <v>32867</v>
      </c>
      <c r="F1356">
        <v>43</v>
      </c>
    </row>
    <row r="1357" spans="1:6" x14ac:dyDescent="0.2">
      <c r="A1357" t="s">
        <v>339</v>
      </c>
      <c r="B1357" t="s">
        <v>659</v>
      </c>
      <c r="C1357" t="s">
        <v>86</v>
      </c>
      <c r="D1357" t="s">
        <v>384</v>
      </c>
      <c r="E1357">
        <v>12020</v>
      </c>
      <c r="F1357">
        <v>10</v>
      </c>
    </row>
    <row r="1358" spans="1:6" x14ac:dyDescent="0.2">
      <c r="A1358" t="s">
        <v>339</v>
      </c>
      <c r="B1358" t="s">
        <v>659</v>
      </c>
      <c r="C1358" t="s">
        <v>130</v>
      </c>
      <c r="D1358" t="s">
        <v>384</v>
      </c>
      <c r="E1358">
        <v>10564</v>
      </c>
      <c r="F1358">
        <v>23</v>
      </c>
    </row>
    <row r="1359" spans="1:6" x14ac:dyDescent="0.2">
      <c r="A1359" t="s">
        <v>339</v>
      </c>
      <c r="B1359" t="s">
        <v>659</v>
      </c>
      <c r="C1359" t="s">
        <v>134</v>
      </c>
      <c r="D1359" t="s">
        <v>384</v>
      </c>
      <c r="E1359">
        <v>10034</v>
      </c>
      <c r="F1359">
        <v>6</v>
      </c>
    </row>
    <row r="1360" spans="1:6" x14ac:dyDescent="0.2">
      <c r="A1360" t="s">
        <v>339</v>
      </c>
      <c r="B1360" t="s">
        <v>660</v>
      </c>
      <c r="C1360" t="s">
        <v>384</v>
      </c>
      <c r="D1360" t="s">
        <v>384</v>
      </c>
      <c r="E1360">
        <v>190</v>
      </c>
      <c r="F1360">
        <v>54</v>
      </c>
    </row>
    <row r="1361" spans="1:6" x14ac:dyDescent="0.2">
      <c r="A1361" t="s">
        <v>339</v>
      </c>
      <c r="B1361" t="s">
        <v>660</v>
      </c>
      <c r="C1361" t="s">
        <v>649</v>
      </c>
      <c r="D1361" t="s">
        <v>384</v>
      </c>
      <c r="E1361">
        <v>192</v>
      </c>
      <c r="F1361">
        <v>56</v>
      </c>
    </row>
    <row r="1362" spans="1:6" x14ac:dyDescent="0.2">
      <c r="A1362" t="s">
        <v>339</v>
      </c>
      <c r="B1362" t="s">
        <v>660</v>
      </c>
      <c r="C1362" t="s">
        <v>86</v>
      </c>
      <c r="D1362" t="s">
        <v>384</v>
      </c>
      <c r="E1362">
        <v>1</v>
      </c>
      <c r="F1362">
        <v>1</v>
      </c>
    </row>
    <row r="1363" spans="1:6" x14ac:dyDescent="0.2">
      <c r="A1363" t="s">
        <v>339</v>
      </c>
      <c r="B1363" t="s">
        <v>660</v>
      </c>
      <c r="C1363" t="s">
        <v>130</v>
      </c>
      <c r="D1363" t="s">
        <v>384</v>
      </c>
      <c r="E1363">
        <v>1</v>
      </c>
      <c r="F1363">
        <v>1</v>
      </c>
    </row>
    <row r="1364" spans="1:6" x14ac:dyDescent="0.2">
      <c r="A1364" t="s">
        <v>339</v>
      </c>
      <c r="B1364" t="s">
        <v>661</v>
      </c>
      <c r="C1364" t="s">
        <v>384</v>
      </c>
      <c r="D1364" t="s">
        <v>384</v>
      </c>
      <c r="E1364">
        <v>2</v>
      </c>
      <c r="F1364">
        <v>2</v>
      </c>
    </row>
    <row r="1365" spans="1:6" x14ac:dyDescent="0.2">
      <c r="A1365" t="s">
        <v>339</v>
      </c>
      <c r="B1365" t="s">
        <v>661</v>
      </c>
      <c r="C1365" t="s">
        <v>649</v>
      </c>
      <c r="D1365" t="s">
        <v>384</v>
      </c>
      <c r="E1365">
        <v>18</v>
      </c>
      <c r="F1365">
        <v>3</v>
      </c>
    </row>
    <row r="1366" spans="1:6" x14ac:dyDescent="0.2">
      <c r="A1366" t="s">
        <v>339</v>
      </c>
      <c r="B1366" t="s">
        <v>661</v>
      </c>
      <c r="C1366" t="s">
        <v>86</v>
      </c>
      <c r="D1366" t="s">
        <v>384</v>
      </c>
      <c r="E1366">
        <v>15</v>
      </c>
      <c r="F1366">
        <v>1</v>
      </c>
    </row>
    <row r="1367" spans="1:6" x14ac:dyDescent="0.2">
      <c r="A1367" t="s">
        <v>339</v>
      </c>
      <c r="B1367" t="s">
        <v>661</v>
      </c>
      <c r="C1367" t="s">
        <v>134</v>
      </c>
      <c r="D1367" t="s">
        <v>384</v>
      </c>
      <c r="E1367">
        <v>1</v>
      </c>
    </row>
    <row r="1368" spans="1:6" x14ac:dyDescent="0.2">
      <c r="A1368" t="s">
        <v>339</v>
      </c>
      <c r="B1368" t="s">
        <v>662</v>
      </c>
      <c r="C1368" t="s">
        <v>649</v>
      </c>
      <c r="D1368" t="s">
        <v>384</v>
      </c>
      <c r="E1368">
        <v>7144</v>
      </c>
      <c r="F1368">
        <v>5179</v>
      </c>
    </row>
    <row r="1369" spans="1:6" x14ac:dyDescent="0.2">
      <c r="A1369" t="s">
        <v>339</v>
      </c>
      <c r="B1369" t="s">
        <v>662</v>
      </c>
      <c r="C1369" t="s">
        <v>86</v>
      </c>
      <c r="D1369" t="s">
        <v>384</v>
      </c>
      <c r="E1369">
        <v>2310</v>
      </c>
      <c r="F1369">
        <v>1640</v>
      </c>
    </row>
    <row r="1370" spans="1:6" x14ac:dyDescent="0.2">
      <c r="A1370" t="s">
        <v>339</v>
      </c>
      <c r="B1370" t="s">
        <v>662</v>
      </c>
      <c r="C1370" t="s">
        <v>130</v>
      </c>
      <c r="D1370" t="s">
        <v>384</v>
      </c>
      <c r="E1370">
        <v>2456</v>
      </c>
      <c r="F1370">
        <v>1786</v>
      </c>
    </row>
    <row r="1371" spans="1:6" x14ac:dyDescent="0.2">
      <c r="A1371" t="s">
        <v>339</v>
      </c>
      <c r="B1371" t="s">
        <v>662</v>
      </c>
      <c r="C1371" t="s">
        <v>134</v>
      </c>
      <c r="D1371" t="s">
        <v>384</v>
      </c>
      <c r="E1371">
        <v>2378</v>
      </c>
      <c r="F1371">
        <v>1753</v>
      </c>
    </row>
    <row r="1372" spans="1:6" x14ac:dyDescent="0.2">
      <c r="A1372" t="s">
        <v>339</v>
      </c>
      <c r="B1372" t="s">
        <v>651</v>
      </c>
      <c r="C1372" t="s">
        <v>359</v>
      </c>
      <c r="D1372" t="s">
        <v>384</v>
      </c>
      <c r="E1372">
        <v>716</v>
      </c>
      <c r="F1372">
        <v>233</v>
      </c>
    </row>
    <row r="1373" spans="1:6" x14ac:dyDescent="0.2">
      <c r="A1373" t="s">
        <v>339</v>
      </c>
      <c r="B1373" t="s">
        <v>651</v>
      </c>
      <c r="C1373" t="s">
        <v>386</v>
      </c>
      <c r="D1373" t="s">
        <v>384</v>
      </c>
      <c r="E1373">
        <v>72067</v>
      </c>
      <c r="F1373">
        <v>15659</v>
      </c>
    </row>
    <row r="1374" spans="1:6" x14ac:dyDescent="0.2">
      <c r="A1374" t="s">
        <v>339</v>
      </c>
      <c r="B1374" t="s">
        <v>651</v>
      </c>
      <c r="C1374" t="s">
        <v>385</v>
      </c>
      <c r="D1374" t="s">
        <v>384</v>
      </c>
      <c r="E1374">
        <v>110658</v>
      </c>
      <c r="F1374">
        <v>25662</v>
      </c>
    </row>
    <row r="1375" spans="1:6" x14ac:dyDescent="0.2">
      <c r="A1375" t="s">
        <v>339</v>
      </c>
      <c r="B1375" t="s">
        <v>651</v>
      </c>
      <c r="C1375" t="s">
        <v>387</v>
      </c>
      <c r="D1375" t="s">
        <v>384</v>
      </c>
      <c r="E1375">
        <v>82764</v>
      </c>
      <c r="F1375">
        <v>21197</v>
      </c>
    </row>
    <row r="1376" spans="1:6" x14ac:dyDescent="0.2">
      <c r="A1376" t="s">
        <v>339</v>
      </c>
      <c r="B1376" t="s">
        <v>651</v>
      </c>
      <c r="C1376" t="s">
        <v>388</v>
      </c>
      <c r="D1376" t="s">
        <v>384</v>
      </c>
      <c r="E1376">
        <v>60786</v>
      </c>
      <c r="F1376">
        <v>15283</v>
      </c>
    </row>
    <row r="1377" spans="1:6" x14ac:dyDescent="0.2">
      <c r="A1377" t="s">
        <v>339</v>
      </c>
      <c r="B1377" t="s">
        <v>652</v>
      </c>
      <c r="C1377" t="s">
        <v>359</v>
      </c>
      <c r="D1377" t="s">
        <v>384</v>
      </c>
      <c r="E1377">
        <v>111457</v>
      </c>
      <c r="F1377">
        <v>635</v>
      </c>
    </row>
    <row r="1378" spans="1:6" x14ac:dyDescent="0.2">
      <c r="A1378" t="s">
        <v>339</v>
      </c>
      <c r="B1378" t="s">
        <v>652</v>
      </c>
      <c r="C1378" t="s">
        <v>386</v>
      </c>
      <c r="D1378" t="s">
        <v>384</v>
      </c>
      <c r="E1378">
        <v>48674</v>
      </c>
      <c r="F1378">
        <v>12711</v>
      </c>
    </row>
    <row r="1379" spans="1:6" x14ac:dyDescent="0.2">
      <c r="A1379" t="s">
        <v>339</v>
      </c>
      <c r="B1379" t="s">
        <v>652</v>
      </c>
      <c r="C1379" t="s">
        <v>385</v>
      </c>
      <c r="D1379" t="s">
        <v>384</v>
      </c>
      <c r="E1379">
        <v>50086</v>
      </c>
      <c r="F1379">
        <v>16137</v>
      </c>
    </row>
    <row r="1380" spans="1:6" x14ac:dyDescent="0.2">
      <c r="A1380" t="s">
        <v>339</v>
      </c>
      <c r="B1380" t="s">
        <v>652</v>
      </c>
      <c r="C1380" t="s">
        <v>387</v>
      </c>
      <c r="D1380" t="s">
        <v>384</v>
      </c>
      <c r="E1380">
        <v>67300</v>
      </c>
      <c r="F1380">
        <v>17630</v>
      </c>
    </row>
    <row r="1381" spans="1:6" x14ac:dyDescent="0.2">
      <c r="A1381" t="s">
        <v>339</v>
      </c>
      <c r="B1381" t="s">
        <v>652</v>
      </c>
      <c r="C1381" t="s">
        <v>388</v>
      </c>
      <c r="D1381" t="s">
        <v>384</v>
      </c>
      <c r="E1381">
        <v>31468</v>
      </c>
      <c r="F1381">
        <v>10189</v>
      </c>
    </row>
    <row r="1382" spans="1:6" x14ac:dyDescent="0.2">
      <c r="A1382" t="s">
        <v>339</v>
      </c>
      <c r="B1382" t="s">
        <v>653</v>
      </c>
      <c r="C1382" t="s">
        <v>359</v>
      </c>
      <c r="D1382" t="s">
        <v>384</v>
      </c>
      <c r="E1382">
        <v>6180</v>
      </c>
      <c r="F1382">
        <v>3655</v>
      </c>
    </row>
    <row r="1383" spans="1:6" x14ac:dyDescent="0.2">
      <c r="A1383" t="s">
        <v>339</v>
      </c>
      <c r="B1383" t="s">
        <v>653</v>
      </c>
      <c r="C1383" t="s">
        <v>386</v>
      </c>
      <c r="D1383" t="s">
        <v>384</v>
      </c>
      <c r="E1383">
        <v>2427</v>
      </c>
      <c r="F1383">
        <v>1232</v>
      </c>
    </row>
    <row r="1384" spans="1:6" x14ac:dyDescent="0.2">
      <c r="A1384" t="s">
        <v>339</v>
      </c>
      <c r="B1384" t="s">
        <v>653</v>
      </c>
      <c r="C1384" t="s">
        <v>385</v>
      </c>
      <c r="D1384" t="s">
        <v>384</v>
      </c>
      <c r="E1384">
        <v>7002</v>
      </c>
      <c r="F1384">
        <v>4002</v>
      </c>
    </row>
    <row r="1385" spans="1:6" x14ac:dyDescent="0.2">
      <c r="A1385" t="s">
        <v>339</v>
      </c>
      <c r="B1385" t="s">
        <v>653</v>
      </c>
      <c r="C1385" t="s">
        <v>387</v>
      </c>
      <c r="D1385" t="s">
        <v>384</v>
      </c>
      <c r="E1385">
        <v>1399</v>
      </c>
      <c r="F1385">
        <v>1009</v>
      </c>
    </row>
    <row r="1386" spans="1:6" x14ac:dyDescent="0.2">
      <c r="A1386" t="s">
        <v>339</v>
      </c>
      <c r="B1386" t="s">
        <v>653</v>
      </c>
      <c r="C1386" t="s">
        <v>388</v>
      </c>
      <c r="D1386" t="s">
        <v>384</v>
      </c>
      <c r="E1386">
        <v>3642</v>
      </c>
      <c r="F1386">
        <v>1273</v>
      </c>
    </row>
    <row r="1387" spans="1:6" x14ac:dyDescent="0.2">
      <c r="A1387" t="s">
        <v>339</v>
      </c>
      <c r="B1387" t="s">
        <v>654</v>
      </c>
      <c r="C1387" t="s">
        <v>359</v>
      </c>
      <c r="D1387" t="s">
        <v>384</v>
      </c>
      <c r="E1387">
        <v>9944</v>
      </c>
      <c r="F1387">
        <v>301</v>
      </c>
    </row>
    <row r="1388" spans="1:6" x14ac:dyDescent="0.2">
      <c r="A1388" t="s">
        <v>339</v>
      </c>
      <c r="B1388" t="s">
        <v>654</v>
      </c>
      <c r="C1388" t="s">
        <v>386</v>
      </c>
      <c r="D1388" t="s">
        <v>384</v>
      </c>
      <c r="E1388">
        <v>10971</v>
      </c>
      <c r="F1388">
        <v>6701</v>
      </c>
    </row>
    <row r="1389" spans="1:6" x14ac:dyDescent="0.2">
      <c r="A1389" t="s">
        <v>339</v>
      </c>
      <c r="B1389" t="s">
        <v>654</v>
      </c>
      <c r="C1389" t="s">
        <v>385</v>
      </c>
      <c r="D1389" t="s">
        <v>384</v>
      </c>
      <c r="E1389">
        <v>13877</v>
      </c>
      <c r="F1389">
        <v>7771</v>
      </c>
    </row>
    <row r="1390" spans="1:6" x14ac:dyDescent="0.2">
      <c r="A1390" t="s">
        <v>339</v>
      </c>
      <c r="B1390" t="s">
        <v>654</v>
      </c>
      <c r="C1390" t="s">
        <v>387</v>
      </c>
      <c r="D1390" t="s">
        <v>384</v>
      </c>
      <c r="E1390">
        <v>28933</v>
      </c>
      <c r="F1390">
        <v>6900</v>
      </c>
    </row>
    <row r="1391" spans="1:6" x14ac:dyDescent="0.2">
      <c r="A1391" t="s">
        <v>339</v>
      </c>
      <c r="B1391" t="s">
        <v>654</v>
      </c>
      <c r="C1391" t="s">
        <v>388</v>
      </c>
      <c r="D1391" t="s">
        <v>384</v>
      </c>
      <c r="E1391">
        <v>7678</v>
      </c>
      <c r="F1391">
        <v>4779</v>
      </c>
    </row>
    <row r="1392" spans="1:6" x14ac:dyDescent="0.2">
      <c r="A1392" t="s">
        <v>339</v>
      </c>
      <c r="B1392" t="s">
        <v>655</v>
      </c>
      <c r="C1392" t="s">
        <v>359</v>
      </c>
      <c r="D1392" t="s">
        <v>384</v>
      </c>
      <c r="E1392">
        <v>633</v>
      </c>
      <c r="F1392">
        <v>21</v>
      </c>
    </row>
    <row r="1393" spans="1:6" x14ac:dyDescent="0.2">
      <c r="A1393" t="s">
        <v>339</v>
      </c>
      <c r="B1393" t="s">
        <v>655</v>
      </c>
      <c r="C1393" t="s">
        <v>386</v>
      </c>
      <c r="D1393" t="s">
        <v>384</v>
      </c>
      <c r="E1393">
        <v>6653</v>
      </c>
      <c r="F1393">
        <v>1041</v>
      </c>
    </row>
    <row r="1394" spans="1:6" x14ac:dyDescent="0.2">
      <c r="A1394" t="s">
        <v>339</v>
      </c>
      <c r="B1394" t="s">
        <v>655</v>
      </c>
      <c r="C1394" t="s">
        <v>385</v>
      </c>
      <c r="D1394" t="s">
        <v>384</v>
      </c>
      <c r="E1394">
        <v>235</v>
      </c>
      <c r="F1394">
        <v>60</v>
      </c>
    </row>
    <row r="1395" spans="1:6" x14ac:dyDescent="0.2">
      <c r="A1395" t="s">
        <v>339</v>
      </c>
      <c r="B1395" t="s">
        <v>655</v>
      </c>
      <c r="C1395" t="s">
        <v>387</v>
      </c>
      <c r="D1395" t="s">
        <v>384</v>
      </c>
      <c r="E1395">
        <v>13890</v>
      </c>
      <c r="F1395">
        <v>1977</v>
      </c>
    </row>
    <row r="1396" spans="1:6" x14ac:dyDescent="0.2">
      <c r="A1396" t="s">
        <v>339</v>
      </c>
      <c r="B1396" t="s">
        <v>655</v>
      </c>
      <c r="C1396" t="s">
        <v>388</v>
      </c>
      <c r="D1396" t="s">
        <v>384</v>
      </c>
      <c r="E1396">
        <v>66</v>
      </c>
      <c r="F1396">
        <v>31</v>
      </c>
    </row>
    <row r="1397" spans="1:6" x14ac:dyDescent="0.2">
      <c r="A1397" t="s">
        <v>339</v>
      </c>
      <c r="B1397" t="s">
        <v>656</v>
      </c>
      <c r="C1397" t="s">
        <v>359</v>
      </c>
      <c r="D1397" t="s">
        <v>384</v>
      </c>
      <c r="E1397">
        <v>217</v>
      </c>
      <c r="F1397">
        <v>58</v>
      </c>
    </row>
    <row r="1398" spans="1:6" x14ac:dyDescent="0.2">
      <c r="A1398" t="s">
        <v>339</v>
      </c>
      <c r="B1398" t="s">
        <v>656</v>
      </c>
      <c r="C1398" t="s">
        <v>386</v>
      </c>
      <c r="D1398" t="s">
        <v>384</v>
      </c>
      <c r="E1398">
        <v>317</v>
      </c>
      <c r="F1398">
        <v>286</v>
      </c>
    </row>
    <row r="1399" spans="1:6" x14ac:dyDescent="0.2">
      <c r="A1399" t="s">
        <v>339</v>
      </c>
      <c r="B1399" t="s">
        <v>656</v>
      </c>
      <c r="C1399" t="s">
        <v>385</v>
      </c>
      <c r="D1399" t="s">
        <v>384</v>
      </c>
      <c r="E1399">
        <v>1417</v>
      </c>
      <c r="F1399">
        <v>1300</v>
      </c>
    </row>
    <row r="1400" spans="1:6" x14ac:dyDescent="0.2">
      <c r="A1400" t="s">
        <v>339</v>
      </c>
      <c r="B1400" t="s">
        <v>656</v>
      </c>
      <c r="C1400" t="s">
        <v>387</v>
      </c>
      <c r="D1400" t="s">
        <v>384</v>
      </c>
      <c r="E1400">
        <v>497</v>
      </c>
      <c r="F1400">
        <v>446</v>
      </c>
    </row>
    <row r="1401" spans="1:6" x14ac:dyDescent="0.2">
      <c r="A1401" t="s">
        <v>339</v>
      </c>
      <c r="B1401" t="s">
        <v>656</v>
      </c>
      <c r="C1401" t="s">
        <v>388</v>
      </c>
      <c r="D1401" t="s">
        <v>384</v>
      </c>
      <c r="E1401">
        <v>615</v>
      </c>
      <c r="F1401">
        <v>562</v>
      </c>
    </row>
    <row r="1402" spans="1:6" x14ac:dyDescent="0.2">
      <c r="A1402" t="s">
        <v>358</v>
      </c>
      <c r="B1402" t="s">
        <v>651</v>
      </c>
      <c r="C1402" t="s">
        <v>649</v>
      </c>
      <c r="D1402" t="s">
        <v>18</v>
      </c>
      <c r="E1402">
        <v>31739</v>
      </c>
      <c r="F1402">
        <v>12197</v>
      </c>
    </row>
    <row r="1403" spans="1:6" x14ac:dyDescent="0.2">
      <c r="A1403" t="s">
        <v>358</v>
      </c>
      <c r="B1403" t="s">
        <v>651</v>
      </c>
      <c r="C1403" t="s">
        <v>649</v>
      </c>
      <c r="D1403" t="s">
        <v>19</v>
      </c>
      <c r="E1403">
        <v>210778</v>
      </c>
      <c r="F1403">
        <v>40848</v>
      </c>
    </row>
    <row r="1404" spans="1:6" x14ac:dyDescent="0.2">
      <c r="A1404" t="s">
        <v>358</v>
      </c>
      <c r="B1404" t="s">
        <v>651</v>
      </c>
      <c r="C1404" t="s">
        <v>649</v>
      </c>
      <c r="D1404" t="s">
        <v>17</v>
      </c>
      <c r="E1404">
        <v>181</v>
      </c>
      <c r="F1404">
        <v>135</v>
      </c>
    </row>
    <row r="1405" spans="1:6" x14ac:dyDescent="0.2">
      <c r="A1405" t="s">
        <v>358</v>
      </c>
      <c r="B1405" t="s">
        <v>651</v>
      </c>
      <c r="C1405" t="s">
        <v>649</v>
      </c>
      <c r="D1405" t="s">
        <v>77</v>
      </c>
      <c r="E1405">
        <v>70600</v>
      </c>
      <c r="F1405">
        <v>21131</v>
      </c>
    </row>
    <row r="1406" spans="1:6" x14ac:dyDescent="0.2">
      <c r="A1406" t="s">
        <v>358</v>
      </c>
      <c r="B1406" t="s">
        <v>651</v>
      </c>
      <c r="C1406" t="s">
        <v>649</v>
      </c>
      <c r="D1406" t="s">
        <v>79</v>
      </c>
      <c r="E1406">
        <v>12265</v>
      </c>
      <c r="F1406">
        <v>3337</v>
      </c>
    </row>
    <row r="1407" spans="1:6" x14ac:dyDescent="0.2">
      <c r="A1407" t="s">
        <v>358</v>
      </c>
      <c r="B1407" t="s">
        <v>651</v>
      </c>
      <c r="C1407" t="s">
        <v>649</v>
      </c>
      <c r="D1407" t="s">
        <v>80</v>
      </c>
      <c r="E1407">
        <v>1083</v>
      </c>
      <c r="F1407">
        <v>203</v>
      </c>
    </row>
    <row r="1408" spans="1:6" x14ac:dyDescent="0.2">
      <c r="A1408" t="s">
        <v>358</v>
      </c>
      <c r="B1408" t="s">
        <v>651</v>
      </c>
      <c r="C1408" t="s">
        <v>649</v>
      </c>
      <c r="D1408" t="s">
        <v>84</v>
      </c>
      <c r="E1408">
        <v>247</v>
      </c>
      <c r="F1408">
        <v>137</v>
      </c>
    </row>
    <row r="1409" spans="1:6" x14ac:dyDescent="0.2">
      <c r="A1409" t="s">
        <v>358</v>
      </c>
      <c r="B1409" t="s">
        <v>651</v>
      </c>
      <c r="C1409" t="s">
        <v>649</v>
      </c>
      <c r="D1409" t="s">
        <v>82</v>
      </c>
      <c r="E1409">
        <v>98</v>
      </c>
      <c r="F1409">
        <v>46</v>
      </c>
    </row>
    <row r="1410" spans="1:6" x14ac:dyDescent="0.2">
      <c r="A1410" t="s">
        <v>358</v>
      </c>
      <c r="B1410" t="s">
        <v>652</v>
      </c>
      <c r="C1410" t="s">
        <v>649</v>
      </c>
      <c r="D1410" t="s">
        <v>405</v>
      </c>
      <c r="E1410">
        <v>46804</v>
      </c>
      <c r="F1410">
        <v>6930</v>
      </c>
    </row>
    <row r="1411" spans="1:6" x14ac:dyDescent="0.2">
      <c r="A1411" t="s">
        <v>358</v>
      </c>
      <c r="B1411" t="s">
        <v>652</v>
      </c>
      <c r="C1411" t="s">
        <v>649</v>
      </c>
      <c r="D1411" t="s">
        <v>85</v>
      </c>
      <c r="E1411">
        <v>1</v>
      </c>
      <c r="F1411">
        <v>1</v>
      </c>
    </row>
    <row r="1412" spans="1:6" x14ac:dyDescent="0.2">
      <c r="A1412" t="s">
        <v>358</v>
      </c>
      <c r="B1412" t="s">
        <v>652</v>
      </c>
      <c r="C1412" t="s">
        <v>649</v>
      </c>
      <c r="D1412" t="s">
        <v>87</v>
      </c>
      <c r="E1412">
        <v>425</v>
      </c>
      <c r="F1412">
        <v>21</v>
      </c>
    </row>
    <row r="1413" spans="1:6" x14ac:dyDescent="0.2">
      <c r="A1413" t="s">
        <v>358</v>
      </c>
      <c r="B1413" t="s">
        <v>652</v>
      </c>
      <c r="C1413" t="s">
        <v>649</v>
      </c>
      <c r="D1413" t="s">
        <v>406</v>
      </c>
      <c r="E1413">
        <v>27420</v>
      </c>
      <c r="F1413">
        <v>6707</v>
      </c>
    </row>
    <row r="1414" spans="1:6" x14ac:dyDescent="0.2">
      <c r="A1414" t="s">
        <v>358</v>
      </c>
      <c r="B1414" t="s">
        <v>652</v>
      </c>
      <c r="C1414" t="s">
        <v>649</v>
      </c>
      <c r="D1414" t="s">
        <v>407</v>
      </c>
      <c r="E1414">
        <v>23069</v>
      </c>
      <c r="F1414">
        <v>714</v>
      </c>
    </row>
    <row r="1415" spans="1:6" x14ac:dyDescent="0.2">
      <c r="A1415" t="s">
        <v>358</v>
      </c>
      <c r="B1415" t="s">
        <v>652</v>
      </c>
      <c r="C1415" t="s">
        <v>649</v>
      </c>
      <c r="D1415" t="s">
        <v>83</v>
      </c>
      <c r="E1415">
        <v>48</v>
      </c>
      <c r="F1415">
        <v>43</v>
      </c>
    </row>
    <row r="1416" spans="1:6" x14ac:dyDescent="0.2">
      <c r="A1416" t="s">
        <v>358</v>
      </c>
      <c r="B1416" t="s">
        <v>652</v>
      </c>
      <c r="C1416" t="s">
        <v>649</v>
      </c>
      <c r="D1416" t="s">
        <v>408</v>
      </c>
      <c r="E1416">
        <v>211218</v>
      </c>
      <c r="F1416">
        <v>42886</v>
      </c>
    </row>
    <row r="1417" spans="1:6" x14ac:dyDescent="0.2">
      <c r="A1417" t="s">
        <v>358</v>
      </c>
      <c r="B1417" t="s">
        <v>653</v>
      </c>
      <c r="C1417" t="s">
        <v>649</v>
      </c>
      <c r="D1417" t="s">
        <v>89</v>
      </c>
      <c r="E1417">
        <v>15</v>
      </c>
      <c r="F1417">
        <v>15</v>
      </c>
    </row>
    <row r="1418" spans="1:6" x14ac:dyDescent="0.2">
      <c r="A1418" t="s">
        <v>358</v>
      </c>
      <c r="B1418" t="s">
        <v>653</v>
      </c>
      <c r="C1418" t="s">
        <v>649</v>
      </c>
      <c r="D1418" t="s">
        <v>130</v>
      </c>
      <c r="E1418">
        <v>1592</v>
      </c>
      <c r="F1418">
        <v>1188</v>
      </c>
    </row>
    <row r="1419" spans="1:6" x14ac:dyDescent="0.2">
      <c r="A1419" t="s">
        <v>358</v>
      </c>
      <c r="B1419" t="s">
        <v>653</v>
      </c>
      <c r="C1419" t="s">
        <v>649</v>
      </c>
      <c r="D1419" t="s">
        <v>409</v>
      </c>
      <c r="E1419">
        <v>15415</v>
      </c>
      <c r="F1419">
        <v>8261</v>
      </c>
    </row>
    <row r="1420" spans="1:6" x14ac:dyDescent="0.2">
      <c r="A1420" t="s">
        <v>358</v>
      </c>
      <c r="B1420" t="s">
        <v>653</v>
      </c>
      <c r="C1420" t="s">
        <v>649</v>
      </c>
      <c r="D1420" t="s">
        <v>421</v>
      </c>
      <c r="E1420">
        <v>9</v>
      </c>
      <c r="F1420">
        <v>7</v>
      </c>
    </row>
    <row r="1421" spans="1:6" x14ac:dyDescent="0.2">
      <c r="A1421" t="s">
        <v>358</v>
      </c>
      <c r="B1421" t="s">
        <v>653</v>
      </c>
      <c r="C1421" t="s">
        <v>649</v>
      </c>
      <c r="D1421" t="s">
        <v>422</v>
      </c>
      <c r="E1421">
        <v>129</v>
      </c>
      <c r="F1421">
        <v>45</v>
      </c>
    </row>
    <row r="1422" spans="1:6" x14ac:dyDescent="0.2">
      <c r="A1422" t="s">
        <v>358</v>
      </c>
      <c r="B1422" t="s">
        <v>653</v>
      </c>
      <c r="C1422" t="s">
        <v>649</v>
      </c>
      <c r="D1422" t="s">
        <v>423</v>
      </c>
      <c r="E1422">
        <v>806</v>
      </c>
      <c r="F1422">
        <v>780</v>
      </c>
    </row>
    <row r="1423" spans="1:6" x14ac:dyDescent="0.2">
      <c r="A1423" t="s">
        <v>358</v>
      </c>
      <c r="B1423" t="s">
        <v>653</v>
      </c>
      <c r="C1423" t="s">
        <v>649</v>
      </c>
      <c r="D1423" t="s">
        <v>88</v>
      </c>
      <c r="E1423">
        <v>145</v>
      </c>
      <c r="F1423">
        <v>101</v>
      </c>
    </row>
    <row r="1424" spans="1:6" x14ac:dyDescent="0.2">
      <c r="A1424" t="s">
        <v>358</v>
      </c>
      <c r="B1424" t="s">
        <v>653</v>
      </c>
      <c r="C1424" t="s">
        <v>649</v>
      </c>
      <c r="D1424" t="s">
        <v>105</v>
      </c>
      <c r="E1424">
        <v>2539</v>
      </c>
      <c r="F1424">
        <v>774</v>
      </c>
    </row>
    <row r="1425" spans="1:6" x14ac:dyDescent="0.2">
      <c r="A1425" t="s">
        <v>358</v>
      </c>
      <c r="B1425" t="s">
        <v>654</v>
      </c>
      <c r="C1425" t="s">
        <v>649</v>
      </c>
      <c r="D1425" t="s">
        <v>368</v>
      </c>
      <c r="E1425">
        <v>2563</v>
      </c>
      <c r="F1425">
        <v>1691</v>
      </c>
    </row>
    <row r="1426" spans="1:6" x14ac:dyDescent="0.2">
      <c r="A1426" t="s">
        <v>358</v>
      </c>
      <c r="B1426" t="s">
        <v>654</v>
      </c>
      <c r="C1426" t="s">
        <v>649</v>
      </c>
      <c r="D1426" t="s">
        <v>367</v>
      </c>
      <c r="E1426">
        <v>4</v>
      </c>
      <c r="F1426">
        <v>4</v>
      </c>
    </row>
    <row r="1427" spans="1:6" x14ac:dyDescent="0.2">
      <c r="A1427" t="s">
        <v>358</v>
      </c>
      <c r="B1427" t="s">
        <v>654</v>
      </c>
      <c r="C1427" t="s">
        <v>649</v>
      </c>
      <c r="D1427" t="s">
        <v>410</v>
      </c>
      <c r="E1427">
        <v>9040</v>
      </c>
      <c r="F1427">
        <v>1293</v>
      </c>
    </row>
    <row r="1428" spans="1:6" x14ac:dyDescent="0.2">
      <c r="A1428" t="s">
        <v>358</v>
      </c>
      <c r="B1428" t="s">
        <v>654</v>
      </c>
      <c r="C1428" t="s">
        <v>649</v>
      </c>
      <c r="D1428" t="s">
        <v>411</v>
      </c>
      <c r="E1428">
        <v>869</v>
      </c>
      <c r="F1428">
        <v>146</v>
      </c>
    </row>
    <row r="1429" spans="1:6" x14ac:dyDescent="0.2">
      <c r="A1429" t="s">
        <v>358</v>
      </c>
      <c r="B1429" t="s">
        <v>654</v>
      </c>
      <c r="C1429" t="s">
        <v>649</v>
      </c>
      <c r="D1429" t="s">
        <v>90</v>
      </c>
      <c r="E1429">
        <v>24545</v>
      </c>
      <c r="F1429">
        <v>2162</v>
      </c>
    </row>
    <row r="1430" spans="1:6" x14ac:dyDescent="0.2">
      <c r="A1430" t="s">
        <v>358</v>
      </c>
      <c r="B1430" t="s">
        <v>654</v>
      </c>
      <c r="C1430" t="s">
        <v>649</v>
      </c>
      <c r="D1430" t="s">
        <v>81</v>
      </c>
      <c r="E1430">
        <v>35</v>
      </c>
      <c r="F1430">
        <v>23</v>
      </c>
    </row>
    <row r="1431" spans="1:6" x14ac:dyDescent="0.2">
      <c r="A1431" t="s">
        <v>358</v>
      </c>
      <c r="B1431" t="s">
        <v>654</v>
      </c>
      <c r="C1431" t="s">
        <v>649</v>
      </c>
      <c r="D1431" t="s">
        <v>412</v>
      </c>
      <c r="E1431">
        <v>33089</v>
      </c>
      <c r="F1431">
        <v>20353</v>
      </c>
    </row>
    <row r="1432" spans="1:6" x14ac:dyDescent="0.2">
      <c r="A1432" t="s">
        <v>358</v>
      </c>
      <c r="B1432" t="s">
        <v>654</v>
      </c>
      <c r="C1432" t="s">
        <v>649</v>
      </c>
      <c r="D1432" t="s">
        <v>413</v>
      </c>
      <c r="E1432">
        <v>1258</v>
      </c>
      <c r="F1432">
        <v>780</v>
      </c>
    </row>
    <row r="1433" spans="1:6" x14ac:dyDescent="0.2">
      <c r="A1433" t="s">
        <v>358</v>
      </c>
      <c r="B1433" t="s">
        <v>655</v>
      </c>
      <c r="C1433" t="s">
        <v>649</v>
      </c>
      <c r="D1433" t="s">
        <v>414</v>
      </c>
      <c r="E1433">
        <v>21477</v>
      </c>
      <c r="F1433">
        <v>3130</v>
      </c>
    </row>
    <row r="1434" spans="1:6" x14ac:dyDescent="0.2">
      <c r="A1434" t="s">
        <v>358</v>
      </c>
      <c r="B1434" t="s">
        <v>656</v>
      </c>
      <c r="C1434" t="s">
        <v>649</v>
      </c>
      <c r="D1434" t="s">
        <v>104</v>
      </c>
      <c r="E1434">
        <v>3063</v>
      </c>
      <c r="F1434">
        <v>2652</v>
      </c>
    </row>
    <row r="1435" spans="1:6" x14ac:dyDescent="0.2">
      <c r="A1435" t="s">
        <v>358</v>
      </c>
      <c r="B1435" t="s">
        <v>657</v>
      </c>
      <c r="C1435" t="s">
        <v>649</v>
      </c>
      <c r="D1435" t="s">
        <v>91</v>
      </c>
      <c r="E1435">
        <v>9159</v>
      </c>
      <c r="F1435">
        <v>1930</v>
      </c>
    </row>
    <row r="1436" spans="1:6" x14ac:dyDescent="0.2">
      <c r="A1436" t="s">
        <v>358</v>
      </c>
      <c r="B1436" t="s">
        <v>657</v>
      </c>
      <c r="C1436" t="s">
        <v>649</v>
      </c>
      <c r="D1436" t="s">
        <v>92</v>
      </c>
      <c r="E1436">
        <v>6856</v>
      </c>
      <c r="F1436">
        <v>1583</v>
      </c>
    </row>
    <row r="1437" spans="1:6" x14ac:dyDescent="0.2">
      <c r="A1437" t="s">
        <v>358</v>
      </c>
      <c r="B1437" t="s">
        <v>657</v>
      </c>
      <c r="C1437" t="s">
        <v>649</v>
      </c>
      <c r="D1437" t="s">
        <v>93</v>
      </c>
      <c r="E1437">
        <v>13392</v>
      </c>
      <c r="F1437">
        <v>4272</v>
      </c>
    </row>
    <row r="1438" spans="1:6" x14ac:dyDescent="0.2">
      <c r="A1438" t="s">
        <v>358</v>
      </c>
      <c r="B1438" t="s">
        <v>658</v>
      </c>
      <c r="C1438" t="s">
        <v>649</v>
      </c>
      <c r="D1438" t="s">
        <v>87</v>
      </c>
      <c r="E1438">
        <v>1639</v>
      </c>
      <c r="F1438">
        <v>220</v>
      </c>
    </row>
    <row r="1439" spans="1:6" x14ac:dyDescent="0.2">
      <c r="A1439" t="s">
        <v>358</v>
      </c>
      <c r="B1439" t="s">
        <v>658</v>
      </c>
      <c r="C1439" t="s">
        <v>649</v>
      </c>
      <c r="D1439" t="s">
        <v>96</v>
      </c>
      <c r="E1439">
        <v>33</v>
      </c>
      <c r="F1439">
        <v>8</v>
      </c>
    </row>
    <row r="1440" spans="1:6" x14ac:dyDescent="0.2">
      <c r="A1440" t="s">
        <v>358</v>
      </c>
      <c r="B1440" t="s">
        <v>658</v>
      </c>
      <c r="C1440" t="s">
        <v>649</v>
      </c>
      <c r="D1440" t="s">
        <v>415</v>
      </c>
      <c r="E1440">
        <v>16153</v>
      </c>
      <c r="F1440">
        <v>2910</v>
      </c>
    </row>
    <row r="1441" spans="1:16" x14ac:dyDescent="0.2">
      <c r="A1441" t="s">
        <v>358</v>
      </c>
      <c r="B1441" t="s">
        <v>658</v>
      </c>
      <c r="C1441" t="s">
        <v>649</v>
      </c>
      <c r="D1441" t="s">
        <v>95</v>
      </c>
      <c r="E1441">
        <v>283</v>
      </c>
      <c r="F1441">
        <v>170</v>
      </c>
    </row>
    <row r="1442" spans="1:16" x14ac:dyDescent="0.2">
      <c r="A1442" t="s">
        <v>358</v>
      </c>
      <c r="B1442" t="s">
        <v>658</v>
      </c>
      <c r="C1442" t="s">
        <v>649</v>
      </c>
      <c r="D1442" t="s">
        <v>94</v>
      </c>
      <c r="E1442">
        <v>8</v>
      </c>
      <c r="F1442">
        <v>8</v>
      </c>
    </row>
    <row r="1443" spans="1:16" x14ac:dyDescent="0.2">
      <c r="A1443" t="s">
        <v>358</v>
      </c>
      <c r="B1443" t="s">
        <v>659</v>
      </c>
      <c r="C1443" t="s">
        <v>649</v>
      </c>
      <c r="D1443" t="s">
        <v>99</v>
      </c>
      <c r="E1443">
        <v>32</v>
      </c>
      <c r="F1443">
        <v>31</v>
      </c>
    </row>
    <row r="1444" spans="1:16" x14ac:dyDescent="0.2">
      <c r="A1444" t="s">
        <v>358</v>
      </c>
      <c r="B1444" t="s">
        <v>659</v>
      </c>
      <c r="C1444" t="s">
        <v>649</v>
      </c>
      <c r="D1444" t="s">
        <v>98</v>
      </c>
      <c r="E1444">
        <v>32834</v>
      </c>
      <c r="F1444">
        <v>11</v>
      </c>
    </row>
    <row r="1445" spans="1:16" x14ac:dyDescent="0.2">
      <c r="A1445" t="s">
        <v>358</v>
      </c>
      <c r="B1445" t="s">
        <v>659</v>
      </c>
      <c r="C1445" t="s">
        <v>649</v>
      </c>
      <c r="D1445" t="s">
        <v>97</v>
      </c>
      <c r="E1445">
        <v>1</v>
      </c>
      <c r="F1445">
        <v>1</v>
      </c>
    </row>
    <row r="1446" spans="1:16" x14ac:dyDescent="0.2">
      <c r="A1446" t="s">
        <v>358</v>
      </c>
      <c r="B1446" t="s">
        <v>660</v>
      </c>
      <c r="C1446" t="s">
        <v>649</v>
      </c>
      <c r="D1446" t="s">
        <v>103</v>
      </c>
      <c r="E1446">
        <v>128</v>
      </c>
      <c r="F1446">
        <v>10</v>
      </c>
    </row>
    <row r="1447" spans="1:16" x14ac:dyDescent="0.2">
      <c r="A1447" t="s">
        <v>358</v>
      </c>
      <c r="B1447" t="s">
        <v>660</v>
      </c>
      <c r="C1447" t="s">
        <v>649</v>
      </c>
      <c r="D1447" t="s">
        <v>100</v>
      </c>
      <c r="E1447">
        <v>64</v>
      </c>
      <c r="F1447">
        <v>46</v>
      </c>
    </row>
    <row r="1448" spans="1:16" x14ac:dyDescent="0.2">
      <c r="A1448" t="s">
        <v>358</v>
      </c>
      <c r="B1448" t="s">
        <v>661</v>
      </c>
      <c r="C1448" t="s">
        <v>649</v>
      </c>
      <c r="D1448" t="s">
        <v>416</v>
      </c>
      <c r="E1448">
        <v>18</v>
      </c>
      <c r="F1448">
        <v>3</v>
      </c>
    </row>
    <row r="1449" spans="1:16" x14ac:dyDescent="0.2">
      <c r="A1449" t="s">
        <v>358</v>
      </c>
      <c r="B1449" t="s">
        <v>662</v>
      </c>
      <c r="C1449" t="s">
        <v>649</v>
      </c>
      <c r="D1449" t="s">
        <v>104</v>
      </c>
      <c r="E1449">
        <v>7144</v>
      </c>
      <c r="F1449">
        <v>5179</v>
      </c>
    </row>
    <row r="1450" spans="1:16" x14ac:dyDescent="0.2">
      <c r="A1450" t="s">
        <v>340</v>
      </c>
      <c r="B1450" t="s">
        <v>417</v>
      </c>
      <c r="C1450" t="s">
        <v>384</v>
      </c>
      <c r="D1450" t="s">
        <v>384</v>
      </c>
      <c r="E1450">
        <v>7555</v>
      </c>
      <c r="F1450">
        <v>276</v>
      </c>
      <c r="G1450">
        <v>39.49</v>
      </c>
      <c r="H1450">
        <v>497</v>
      </c>
      <c r="I1450">
        <v>3888</v>
      </c>
      <c r="J1450">
        <v>51.58</v>
      </c>
      <c r="K1450">
        <v>68.31</v>
      </c>
      <c r="L1450">
        <v>308</v>
      </c>
      <c r="M1450">
        <v>3912</v>
      </c>
      <c r="N1450">
        <v>3138</v>
      </c>
      <c r="O1450">
        <v>181</v>
      </c>
      <c r="P1450">
        <v>16</v>
      </c>
    </row>
    <row r="1451" spans="1:16" x14ac:dyDescent="0.2">
      <c r="A1451" t="s">
        <v>340</v>
      </c>
      <c r="B1451" t="s">
        <v>417</v>
      </c>
      <c r="C1451" t="s">
        <v>649</v>
      </c>
      <c r="D1451" t="s">
        <v>384</v>
      </c>
      <c r="E1451">
        <v>365584</v>
      </c>
      <c r="F1451">
        <v>81966</v>
      </c>
      <c r="G1451">
        <v>95.33</v>
      </c>
      <c r="H1451">
        <v>51081</v>
      </c>
      <c r="I1451">
        <v>572337</v>
      </c>
      <c r="J1451">
        <v>126.39</v>
      </c>
      <c r="K1451">
        <v>113.18</v>
      </c>
      <c r="L1451">
        <v>24532</v>
      </c>
      <c r="M1451">
        <v>234641</v>
      </c>
      <c r="N1451">
        <v>83548</v>
      </c>
      <c r="O1451">
        <v>19447</v>
      </c>
      <c r="P1451">
        <v>3414</v>
      </c>
    </row>
    <row r="1452" spans="1:16" x14ac:dyDescent="0.2">
      <c r="A1452" t="s">
        <v>340</v>
      </c>
      <c r="B1452" t="s">
        <v>417</v>
      </c>
      <c r="C1452" t="s">
        <v>109</v>
      </c>
      <c r="D1452" t="s">
        <v>384</v>
      </c>
      <c r="E1452">
        <v>1882</v>
      </c>
      <c r="F1452">
        <v>616</v>
      </c>
      <c r="G1452">
        <v>117.88</v>
      </c>
      <c r="H1452">
        <v>427</v>
      </c>
      <c r="I1452">
        <v>5164</v>
      </c>
      <c r="J1452">
        <v>132.03</v>
      </c>
      <c r="K1452">
        <v>115.39</v>
      </c>
      <c r="L1452">
        <v>52</v>
      </c>
      <c r="M1452">
        <v>1319</v>
      </c>
      <c r="N1452">
        <v>412</v>
      </c>
      <c r="O1452">
        <v>71</v>
      </c>
      <c r="P1452">
        <v>28</v>
      </c>
    </row>
    <row r="1453" spans="1:16" x14ac:dyDescent="0.2">
      <c r="A1453" t="s">
        <v>340</v>
      </c>
      <c r="B1453" t="s">
        <v>417</v>
      </c>
      <c r="C1453" t="s">
        <v>110</v>
      </c>
      <c r="D1453" t="s">
        <v>384</v>
      </c>
      <c r="E1453">
        <v>2224</v>
      </c>
      <c r="F1453">
        <v>517</v>
      </c>
      <c r="G1453">
        <v>96.14</v>
      </c>
      <c r="H1453">
        <v>933</v>
      </c>
      <c r="I1453">
        <v>10264</v>
      </c>
      <c r="J1453">
        <v>67.900000000000006</v>
      </c>
      <c r="K1453">
        <v>72.08</v>
      </c>
      <c r="L1453">
        <v>71</v>
      </c>
      <c r="M1453">
        <v>1240</v>
      </c>
      <c r="N1453">
        <v>676</v>
      </c>
      <c r="O1453">
        <v>137</v>
      </c>
      <c r="P1453">
        <v>100</v>
      </c>
    </row>
    <row r="1454" spans="1:16" x14ac:dyDescent="0.2">
      <c r="A1454" t="s">
        <v>340</v>
      </c>
      <c r="B1454" t="s">
        <v>417</v>
      </c>
      <c r="C1454" t="s">
        <v>111</v>
      </c>
      <c r="D1454" t="s">
        <v>384</v>
      </c>
      <c r="E1454">
        <v>3547</v>
      </c>
      <c r="F1454">
        <v>1107</v>
      </c>
      <c r="G1454">
        <v>117.24</v>
      </c>
      <c r="H1454">
        <v>628</v>
      </c>
      <c r="I1454">
        <v>6924</v>
      </c>
      <c r="J1454">
        <v>131.16</v>
      </c>
      <c r="K1454">
        <v>124.68</v>
      </c>
      <c r="L1454">
        <v>106</v>
      </c>
      <c r="M1454">
        <v>2580</v>
      </c>
      <c r="N1454">
        <v>701</v>
      </c>
      <c r="O1454">
        <v>128</v>
      </c>
      <c r="P1454">
        <v>32</v>
      </c>
    </row>
    <row r="1455" spans="1:16" x14ac:dyDescent="0.2">
      <c r="A1455" t="s">
        <v>340</v>
      </c>
      <c r="B1455" t="s">
        <v>417</v>
      </c>
      <c r="C1455" t="s">
        <v>112</v>
      </c>
      <c r="D1455" t="s">
        <v>384</v>
      </c>
      <c r="E1455">
        <v>2740</v>
      </c>
      <c r="F1455">
        <v>708</v>
      </c>
      <c r="G1455">
        <v>101.07</v>
      </c>
      <c r="H1455">
        <v>470</v>
      </c>
      <c r="I1455">
        <v>5446</v>
      </c>
      <c r="J1455">
        <v>125.27</v>
      </c>
      <c r="K1455">
        <v>113.26</v>
      </c>
      <c r="L1455">
        <v>120</v>
      </c>
      <c r="M1455">
        <v>1882</v>
      </c>
      <c r="N1455">
        <v>617</v>
      </c>
      <c r="O1455">
        <v>94</v>
      </c>
      <c r="P1455">
        <v>27</v>
      </c>
    </row>
    <row r="1456" spans="1:16" x14ac:dyDescent="0.2">
      <c r="A1456" t="s">
        <v>340</v>
      </c>
      <c r="B1456" t="s">
        <v>417</v>
      </c>
      <c r="C1456" t="s">
        <v>113</v>
      </c>
      <c r="D1456" t="s">
        <v>384</v>
      </c>
      <c r="E1456">
        <v>1044</v>
      </c>
      <c r="F1456">
        <v>165</v>
      </c>
      <c r="G1456">
        <v>82</v>
      </c>
      <c r="H1456">
        <v>158</v>
      </c>
      <c r="I1456">
        <v>1636</v>
      </c>
      <c r="J1456">
        <v>118.37</v>
      </c>
      <c r="K1456">
        <v>109.98</v>
      </c>
      <c r="L1456">
        <v>51</v>
      </c>
      <c r="M1456">
        <v>679</v>
      </c>
      <c r="N1456">
        <v>255</v>
      </c>
      <c r="O1456">
        <v>51</v>
      </c>
      <c r="P1456">
        <v>8</v>
      </c>
    </row>
    <row r="1457" spans="1:16" x14ac:dyDescent="0.2">
      <c r="A1457" t="s">
        <v>340</v>
      </c>
      <c r="B1457" t="s">
        <v>417</v>
      </c>
      <c r="C1457" t="s">
        <v>114</v>
      </c>
      <c r="D1457" t="s">
        <v>384</v>
      </c>
      <c r="E1457">
        <v>2448</v>
      </c>
      <c r="F1457">
        <v>626</v>
      </c>
      <c r="G1457">
        <v>104.14</v>
      </c>
      <c r="H1457">
        <v>369</v>
      </c>
      <c r="I1457">
        <v>3959</v>
      </c>
      <c r="J1457">
        <v>135.80000000000001</v>
      </c>
      <c r="K1457">
        <v>127.12</v>
      </c>
      <c r="L1457">
        <v>69</v>
      </c>
      <c r="M1457">
        <v>1661</v>
      </c>
      <c r="N1457">
        <v>617</v>
      </c>
      <c r="O1457">
        <v>84</v>
      </c>
      <c r="P1457">
        <v>17</v>
      </c>
    </row>
    <row r="1458" spans="1:16" x14ac:dyDescent="0.2">
      <c r="A1458" t="s">
        <v>340</v>
      </c>
      <c r="B1458" t="s">
        <v>417</v>
      </c>
      <c r="C1458" t="s">
        <v>86</v>
      </c>
      <c r="D1458" t="s">
        <v>384</v>
      </c>
      <c r="E1458">
        <v>16719</v>
      </c>
      <c r="F1458">
        <v>4872</v>
      </c>
      <c r="G1458">
        <v>106.13</v>
      </c>
      <c r="H1458">
        <v>2688</v>
      </c>
      <c r="I1458">
        <v>28339</v>
      </c>
      <c r="J1458">
        <v>133.24</v>
      </c>
      <c r="K1458">
        <v>115.47</v>
      </c>
      <c r="L1458">
        <v>3250</v>
      </c>
      <c r="M1458">
        <v>9057</v>
      </c>
      <c r="N1458">
        <v>1122</v>
      </c>
      <c r="O1458">
        <v>3009</v>
      </c>
      <c r="P1458">
        <v>281</v>
      </c>
    </row>
    <row r="1459" spans="1:16" x14ac:dyDescent="0.2">
      <c r="A1459" t="s">
        <v>340</v>
      </c>
      <c r="B1459" t="s">
        <v>417</v>
      </c>
      <c r="C1459" t="s">
        <v>115</v>
      </c>
      <c r="D1459" t="s">
        <v>384</v>
      </c>
      <c r="E1459">
        <v>4932</v>
      </c>
      <c r="F1459">
        <v>1218</v>
      </c>
      <c r="G1459">
        <v>99.91</v>
      </c>
      <c r="H1459">
        <v>652</v>
      </c>
      <c r="I1459">
        <v>7452</v>
      </c>
      <c r="J1459">
        <v>124.9</v>
      </c>
      <c r="K1459">
        <v>123.06</v>
      </c>
      <c r="L1459">
        <v>267</v>
      </c>
      <c r="M1459">
        <v>3370</v>
      </c>
      <c r="N1459">
        <v>1123</v>
      </c>
      <c r="O1459">
        <v>144</v>
      </c>
      <c r="P1459">
        <v>28</v>
      </c>
    </row>
    <row r="1460" spans="1:16" x14ac:dyDescent="0.2">
      <c r="A1460" t="s">
        <v>340</v>
      </c>
      <c r="B1460" t="s">
        <v>417</v>
      </c>
      <c r="C1460" t="s">
        <v>116</v>
      </c>
      <c r="D1460" t="s">
        <v>384</v>
      </c>
      <c r="E1460">
        <v>4750</v>
      </c>
      <c r="F1460">
        <v>1179</v>
      </c>
      <c r="G1460">
        <v>101.95</v>
      </c>
      <c r="H1460">
        <v>670</v>
      </c>
      <c r="I1460">
        <v>7125</v>
      </c>
      <c r="J1460">
        <v>139.26</v>
      </c>
      <c r="K1460">
        <v>128.63</v>
      </c>
      <c r="L1460">
        <v>218</v>
      </c>
      <c r="M1460">
        <v>3113</v>
      </c>
      <c r="N1460">
        <v>1181</v>
      </c>
      <c r="O1460">
        <v>198</v>
      </c>
      <c r="P1460">
        <v>40</v>
      </c>
    </row>
    <row r="1461" spans="1:16" x14ac:dyDescent="0.2">
      <c r="A1461" t="s">
        <v>340</v>
      </c>
      <c r="B1461" t="s">
        <v>417</v>
      </c>
      <c r="C1461" t="s">
        <v>89</v>
      </c>
      <c r="D1461" t="s">
        <v>384</v>
      </c>
      <c r="E1461">
        <v>13518</v>
      </c>
      <c r="F1461">
        <v>2722</v>
      </c>
      <c r="G1461">
        <v>93.12</v>
      </c>
      <c r="H1461">
        <v>1574</v>
      </c>
      <c r="I1461">
        <v>17437</v>
      </c>
      <c r="J1461">
        <v>130.30000000000001</v>
      </c>
      <c r="K1461">
        <v>120.63</v>
      </c>
      <c r="L1461">
        <v>724</v>
      </c>
      <c r="M1461">
        <v>8496</v>
      </c>
      <c r="N1461">
        <v>3740</v>
      </c>
      <c r="O1461">
        <v>456</v>
      </c>
      <c r="P1461">
        <v>102</v>
      </c>
    </row>
    <row r="1462" spans="1:16" x14ac:dyDescent="0.2">
      <c r="A1462" t="s">
        <v>340</v>
      </c>
      <c r="B1462" t="s">
        <v>417</v>
      </c>
      <c r="C1462" t="s">
        <v>117</v>
      </c>
      <c r="D1462" t="s">
        <v>384</v>
      </c>
      <c r="E1462">
        <v>2988</v>
      </c>
      <c r="F1462">
        <v>541</v>
      </c>
      <c r="G1462">
        <v>90.12</v>
      </c>
      <c r="H1462">
        <v>401</v>
      </c>
      <c r="I1462">
        <v>4209</v>
      </c>
      <c r="J1462">
        <v>124.88</v>
      </c>
      <c r="K1462">
        <v>120.24</v>
      </c>
      <c r="L1462">
        <v>209</v>
      </c>
      <c r="M1462">
        <v>1956</v>
      </c>
      <c r="N1462">
        <v>701</v>
      </c>
      <c r="O1462">
        <v>95</v>
      </c>
      <c r="P1462">
        <v>27</v>
      </c>
    </row>
    <row r="1463" spans="1:16" x14ac:dyDescent="0.2">
      <c r="A1463" t="s">
        <v>340</v>
      </c>
      <c r="B1463" t="s">
        <v>417</v>
      </c>
      <c r="C1463" t="s">
        <v>118</v>
      </c>
      <c r="D1463" t="s">
        <v>384</v>
      </c>
      <c r="E1463">
        <v>18232</v>
      </c>
      <c r="F1463">
        <v>3720</v>
      </c>
      <c r="G1463">
        <v>90.05</v>
      </c>
      <c r="H1463">
        <v>2041</v>
      </c>
      <c r="I1463">
        <v>22633</v>
      </c>
      <c r="J1463">
        <v>127.15</v>
      </c>
      <c r="K1463">
        <v>118.36</v>
      </c>
      <c r="L1463">
        <v>826</v>
      </c>
      <c r="M1463">
        <v>11778</v>
      </c>
      <c r="N1463">
        <v>4857</v>
      </c>
      <c r="O1463">
        <v>637</v>
      </c>
      <c r="P1463">
        <v>134</v>
      </c>
    </row>
    <row r="1464" spans="1:16" x14ac:dyDescent="0.2">
      <c r="A1464" t="s">
        <v>340</v>
      </c>
      <c r="B1464" t="s">
        <v>417</v>
      </c>
      <c r="C1464" t="s">
        <v>119</v>
      </c>
      <c r="D1464" t="s">
        <v>384</v>
      </c>
      <c r="E1464">
        <v>19542</v>
      </c>
      <c r="F1464">
        <v>4338</v>
      </c>
      <c r="G1464">
        <v>98.09</v>
      </c>
      <c r="H1464">
        <v>2740</v>
      </c>
      <c r="I1464">
        <v>30255</v>
      </c>
      <c r="J1464">
        <v>128.97</v>
      </c>
      <c r="K1464">
        <v>122.48</v>
      </c>
      <c r="L1464">
        <v>1200</v>
      </c>
      <c r="M1464">
        <v>13380</v>
      </c>
      <c r="N1464">
        <v>4086</v>
      </c>
      <c r="O1464">
        <v>713</v>
      </c>
      <c r="P1464">
        <v>163</v>
      </c>
    </row>
    <row r="1465" spans="1:16" x14ac:dyDescent="0.2">
      <c r="A1465" t="s">
        <v>340</v>
      </c>
      <c r="B1465" t="s">
        <v>417</v>
      </c>
      <c r="C1465" t="s">
        <v>120</v>
      </c>
      <c r="D1465" t="s">
        <v>384</v>
      </c>
      <c r="E1465">
        <v>16055</v>
      </c>
      <c r="F1465">
        <v>3760</v>
      </c>
      <c r="G1465">
        <v>96.7</v>
      </c>
      <c r="H1465">
        <v>2332</v>
      </c>
      <c r="I1465">
        <v>26424</v>
      </c>
      <c r="J1465">
        <v>128.11000000000001</v>
      </c>
      <c r="K1465">
        <v>116.98</v>
      </c>
      <c r="L1465">
        <v>716</v>
      </c>
      <c r="M1465">
        <v>10557</v>
      </c>
      <c r="N1465">
        <v>3975</v>
      </c>
      <c r="O1465">
        <v>647</v>
      </c>
      <c r="P1465">
        <v>160</v>
      </c>
    </row>
    <row r="1466" spans="1:16" x14ac:dyDescent="0.2">
      <c r="A1466" t="s">
        <v>340</v>
      </c>
      <c r="B1466" t="s">
        <v>417</v>
      </c>
      <c r="C1466" t="s">
        <v>121</v>
      </c>
      <c r="D1466" t="s">
        <v>384</v>
      </c>
      <c r="E1466">
        <v>9386</v>
      </c>
      <c r="F1466">
        <v>1864</v>
      </c>
      <c r="G1466">
        <v>92.02</v>
      </c>
      <c r="H1466">
        <v>1197</v>
      </c>
      <c r="I1466">
        <v>13220</v>
      </c>
      <c r="J1466">
        <v>126.21</v>
      </c>
      <c r="K1466">
        <v>114.26</v>
      </c>
      <c r="L1466">
        <v>503</v>
      </c>
      <c r="M1466">
        <v>6027</v>
      </c>
      <c r="N1466">
        <v>2442</v>
      </c>
      <c r="O1466">
        <v>344</v>
      </c>
      <c r="P1466">
        <v>70</v>
      </c>
    </row>
    <row r="1467" spans="1:16" x14ac:dyDescent="0.2">
      <c r="A1467" t="s">
        <v>340</v>
      </c>
      <c r="B1467" t="s">
        <v>417</v>
      </c>
      <c r="C1467" t="s">
        <v>80</v>
      </c>
      <c r="D1467" t="s">
        <v>384</v>
      </c>
      <c r="E1467">
        <v>9078</v>
      </c>
      <c r="F1467">
        <v>1806</v>
      </c>
      <c r="G1467">
        <v>89.57</v>
      </c>
      <c r="H1467">
        <v>1291</v>
      </c>
      <c r="I1467">
        <v>13639</v>
      </c>
      <c r="J1467">
        <v>126.98</v>
      </c>
      <c r="K1467">
        <v>110.63</v>
      </c>
      <c r="L1467">
        <v>443</v>
      </c>
      <c r="M1467">
        <v>5992</v>
      </c>
      <c r="N1467">
        <v>2235</v>
      </c>
      <c r="O1467">
        <v>330</v>
      </c>
      <c r="P1467">
        <v>78</v>
      </c>
    </row>
    <row r="1468" spans="1:16" x14ac:dyDescent="0.2">
      <c r="A1468" t="s">
        <v>340</v>
      </c>
      <c r="B1468" t="s">
        <v>417</v>
      </c>
      <c r="C1468" t="s">
        <v>122</v>
      </c>
      <c r="D1468" t="s">
        <v>384</v>
      </c>
      <c r="E1468">
        <v>4362</v>
      </c>
      <c r="F1468">
        <v>1078</v>
      </c>
      <c r="G1468">
        <v>105.35</v>
      </c>
      <c r="H1468">
        <v>725</v>
      </c>
      <c r="I1468">
        <v>7853</v>
      </c>
      <c r="J1468">
        <v>129.24</v>
      </c>
      <c r="K1468">
        <v>114.43</v>
      </c>
      <c r="L1468">
        <v>165</v>
      </c>
      <c r="M1468">
        <v>2833</v>
      </c>
      <c r="N1468">
        <v>1104</v>
      </c>
      <c r="O1468">
        <v>212</v>
      </c>
      <c r="P1468">
        <v>48</v>
      </c>
    </row>
    <row r="1469" spans="1:16" x14ac:dyDescent="0.2">
      <c r="A1469" t="s">
        <v>340</v>
      </c>
      <c r="B1469" t="s">
        <v>417</v>
      </c>
      <c r="C1469" t="s">
        <v>123</v>
      </c>
      <c r="D1469" t="s">
        <v>384</v>
      </c>
      <c r="E1469">
        <v>6724</v>
      </c>
      <c r="F1469">
        <v>1411</v>
      </c>
      <c r="G1469">
        <v>94.47</v>
      </c>
      <c r="H1469">
        <v>890</v>
      </c>
      <c r="I1469">
        <v>9552</v>
      </c>
      <c r="J1469">
        <v>133.96</v>
      </c>
      <c r="K1469">
        <v>121.96</v>
      </c>
      <c r="L1469">
        <v>324</v>
      </c>
      <c r="M1469">
        <v>4355</v>
      </c>
      <c r="N1469">
        <v>1710</v>
      </c>
      <c r="O1469">
        <v>280</v>
      </c>
      <c r="P1469">
        <v>55</v>
      </c>
    </row>
    <row r="1470" spans="1:16" x14ac:dyDescent="0.2">
      <c r="A1470" t="s">
        <v>340</v>
      </c>
      <c r="B1470" t="s">
        <v>417</v>
      </c>
      <c r="C1470" t="s">
        <v>124</v>
      </c>
      <c r="D1470" t="s">
        <v>384</v>
      </c>
      <c r="E1470">
        <v>4930</v>
      </c>
      <c r="F1470">
        <v>1385</v>
      </c>
      <c r="G1470">
        <v>106.67</v>
      </c>
      <c r="H1470">
        <v>586</v>
      </c>
      <c r="I1470">
        <v>6614</v>
      </c>
      <c r="J1470">
        <v>136.84</v>
      </c>
      <c r="K1470">
        <v>134.24</v>
      </c>
      <c r="L1470">
        <v>197</v>
      </c>
      <c r="M1470">
        <v>3499</v>
      </c>
      <c r="N1470">
        <v>1026</v>
      </c>
      <c r="O1470">
        <v>175</v>
      </c>
      <c r="P1470">
        <v>33</v>
      </c>
    </row>
    <row r="1471" spans="1:16" x14ac:dyDescent="0.2">
      <c r="A1471" t="s">
        <v>340</v>
      </c>
      <c r="B1471" t="s">
        <v>417</v>
      </c>
      <c r="C1471" t="s">
        <v>125</v>
      </c>
      <c r="D1471" t="s">
        <v>384</v>
      </c>
      <c r="E1471">
        <v>12297</v>
      </c>
      <c r="F1471">
        <v>2368</v>
      </c>
      <c r="G1471">
        <v>88.62</v>
      </c>
      <c r="H1471">
        <v>1573</v>
      </c>
      <c r="I1471">
        <v>17094</v>
      </c>
      <c r="J1471">
        <v>124.31</v>
      </c>
      <c r="K1471">
        <v>113.95</v>
      </c>
      <c r="L1471">
        <v>693</v>
      </c>
      <c r="M1471">
        <v>8365</v>
      </c>
      <c r="N1471">
        <v>2698</v>
      </c>
      <c r="O1471">
        <v>434</v>
      </c>
      <c r="P1471">
        <v>107</v>
      </c>
    </row>
    <row r="1472" spans="1:16" x14ac:dyDescent="0.2">
      <c r="A1472" t="s">
        <v>340</v>
      </c>
      <c r="B1472" t="s">
        <v>417</v>
      </c>
      <c r="C1472" t="s">
        <v>126</v>
      </c>
      <c r="D1472" t="s">
        <v>384</v>
      </c>
      <c r="E1472">
        <v>5672</v>
      </c>
      <c r="F1472">
        <v>1257</v>
      </c>
      <c r="G1472">
        <v>94.18</v>
      </c>
      <c r="H1472">
        <v>826</v>
      </c>
      <c r="I1472">
        <v>8594</v>
      </c>
      <c r="J1472">
        <v>127.25</v>
      </c>
      <c r="K1472">
        <v>122.84</v>
      </c>
      <c r="L1472">
        <v>286</v>
      </c>
      <c r="M1472">
        <v>3966</v>
      </c>
      <c r="N1472">
        <v>1191</v>
      </c>
      <c r="O1472">
        <v>186</v>
      </c>
      <c r="P1472">
        <v>43</v>
      </c>
    </row>
    <row r="1473" spans="1:16" x14ac:dyDescent="0.2">
      <c r="A1473" t="s">
        <v>340</v>
      </c>
      <c r="B1473" t="s">
        <v>417</v>
      </c>
      <c r="C1473" t="s">
        <v>127</v>
      </c>
      <c r="D1473" t="s">
        <v>384</v>
      </c>
      <c r="E1473">
        <v>4313</v>
      </c>
      <c r="F1473">
        <v>1073</v>
      </c>
      <c r="G1473">
        <v>106.23</v>
      </c>
      <c r="H1473">
        <v>627</v>
      </c>
      <c r="I1473">
        <v>7256</v>
      </c>
      <c r="J1473">
        <v>130.33000000000001</v>
      </c>
      <c r="K1473">
        <v>108.79</v>
      </c>
      <c r="L1473">
        <v>222</v>
      </c>
      <c r="M1473">
        <v>2905</v>
      </c>
      <c r="N1473">
        <v>971</v>
      </c>
      <c r="O1473">
        <v>175</v>
      </c>
      <c r="P1473">
        <v>40</v>
      </c>
    </row>
    <row r="1474" spans="1:16" x14ac:dyDescent="0.2">
      <c r="A1474" t="s">
        <v>340</v>
      </c>
      <c r="B1474" t="s">
        <v>417</v>
      </c>
      <c r="C1474" t="s">
        <v>128</v>
      </c>
      <c r="D1474" t="s">
        <v>384</v>
      </c>
      <c r="E1474">
        <v>6051</v>
      </c>
      <c r="F1474">
        <v>1737</v>
      </c>
      <c r="G1474">
        <v>109.25</v>
      </c>
      <c r="H1474">
        <v>917</v>
      </c>
      <c r="I1474">
        <v>9818</v>
      </c>
      <c r="J1474">
        <v>141.08000000000001</v>
      </c>
      <c r="K1474">
        <v>121.89</v>
      </c>
      <c r="L1474">
        <v>350</v>
      </c>
      <c r="M1474">
        <v>3971</v>
      </c>
      <c r="N1474">
        <v>1389</v>
      </c>
      <c r="O1474">
        <v>275</v>
      </c>
      <c r="P1474">
        <v>66</v>
      </c>
    </row>
    <row r="1475" spans="1:16" x14ac:dyDescent="0.2">
      <c r="A1475" t="s">
        <v>340</v>
      </c>
      <c r="B1475" t="s">
        <v>417</v>
      </c>
      <c r="C1475" t="s">
        <v>129</v>
      </c>
      <c r="D1475" t="s">
        <v>384</v>
      </c>
      <c r="E1475">
        <v>6588</v>
      </c>
      <c r="F1475">
        <v>1514</v>
      </c>
      <c r="G1475">
        <v>101.78</v>
      </c>
      <c r="H1475">
        <v>1066</v>
      </c>
      <c r="I1475">
        <v>11696</v>
      </c>
      <c r="J1475">
        <v>125.43</v>
      </c>
      <c r="K1475">
        <v>111.76</v>
      </c>
      <c r="L1475">
        <v>243</v>
      </c>
      <c r="M1475">
        <v>4428</v>
      </c>
      <c r="N1475">
        <v>1615</v>
      </c>
      <c r="O1475">
        <v>240</v>
      </c>
      <c r="P1475">
        <v>62</v>
      </c>
    </row>
    <row r="1476" spans="1:16" x14ac:dyDescent="0.2">
      <c r="A1476" t="s">
        <v>340</v>
      </c>
      <c r="B1476" t="s">
        <v>417</v>
      </c>
      <c r="C1476" t="s">
        <v>130</v>
      </c>
      <c r="D1476" t="s">
        <v>384</v>
      </c>
      <c r="E1476">
        <v>17598</v>
      </c>
      <c r="F1476">
        <v>3273</v>
      </c>
      <c r="G1476">
        <v>86.24</v>
      </c>
      <c r="H1476">
        <v>1924</v>
      </c>
      <c r="I1476">
        <v>23608</v>
      </c>
      <c r="J1476">
        <v>115.16</v>
      </c>
      <c r="K1476">
        <v>89.4</v>
      </c>
      <c r="L1476">
        <v>3284</v>
      </c>
      <c r="M1476">
        <v>9939</v>
      </c>
      <c r="N1476">
        <v>2162</v>
      </c>
      <c r="O1476">
        <v>2043</v>
      </c>
      <c r="P1476">
        <v>170</v>
      </c>
    </row>
    <row r="1477" spans="1:16" x14ac:dyDescent="0.2">
      <c r="A1477" t="s">
        <v>340</v>
      </c>
      <c r="B1477" t="s">
        <v>417</v>
      </c>
      <c r="C1477" t="s">
        <v>131</v>
      </c>
      <c r="D1477" t="s">
        <v>384</v>
      </c>
      <c r="E1477">
        <v>4898</v>
      </c>
      <c r="F1477">
        <v>1244</v>
      </c>
      <c r="G1477">
        <v>105.84</v>
      </c>
      <c r="H1477">
        <v>791</v>
      </c>
      <c r="I1477">
        <v>8699</v>
      </c>
      <c r="J1477">
        <v>126.69</v>
      </c>
      <c r="K1477">
        <v>113.78</v>
      </c>
      <c r="L1477">
        <v>188</v>
      </c>
      <c r="M1477">
        <v>3366</v>
      </c>
      <c r="N1477">
        <v>1090</v>
      </c>
      <c r="O1477">
        <v>203</v>
      </c>
      <c r="P1477">
        <v>51</v>
      </c>
    </row>
    <row r="1478" spans="1:16" x14ac:dyDescent="0.2">
      <c r="A1478" t="s">
        <v>340</v>
      </c>
      <c r="B1478" t="s">
        <v>417</v>
      </c>
      <c r="C1478" t="s">
        <v>132</v>
      </c>
      <c r="D1478" t="s">
        <v>384</v>
      </c>
      <c r="E1478">
        <v>1069</v>
      </c>
      <c r="F1478">
        <v>311</v>
      </c>
      <c r="G1478">
        <v>118.95</v>
      </c>
      <c r="H1478">
        <v>105</v>
      </c>
      <c r="I1478">
        <v>1965</v>
      </c>
      <c r="J1478">
        <v>150.63</v>
      </c>
      <c r="K1478">
        <v>150.94</v>
      </c>
      <c r="L1478">
        <v>91</v>
      </c>
      <c r="M1478">
        <v>683</v>
      </c>
      <c r="N1478">
        <v>260</v>
      </c>
      <c r="O1478">
        <v>26</v>
      </c>
      <c r="P1478">
        <v>9</v>
      </c>
    </row>
    <row r="1479" spans="1:16" x14ac:dyDescent="0.2">
      <c r="A1479" t="s">
        <v>340</v>
      </c>
      <c r="B1479" t="s">
        <v>417</v>
      </c>
      <c r="C1479" t="s">
        <v>133</v>
      </c>
      <c r="D1479" t="s">
        <v>384</v>
      </c>
      <c r="E1479">
        <v>3467</v>
      </c>
      <c r="F1479">
        <v>556</v>
      </c>
      <c r="G1479">
        <v>83.58</v>
      </c>
      <c r="H1479">
        <v>409</v>
      </c>
      <c r="I1479">
        <v>4650</v>
      </c>
      <c r="J1479">
        <v>113.01</v>
      </c>
      <c r="K1479">
        <v>107.04</v>
      </c>
      <c r="L1479">
        <v>161</v>
      </c>
      <c r="M1479">
        <v>2197</v>
      </c>
      <c r="N1479">
        <v>958</v>
      </c>
      <c r="O1479">
        <v>125</v>
      </c>
      <c r="P1479">
        <v>26</v>
      </c>
    </row>
    <row r="1480" spans="1:16" x14ac:dyDescent="0.2">
      <c r="A1480" t="s">
        <v>340</v>
      </c>
      <c r="B1480" t="s">
        <v>417</v>
      </c>
      <c r="C1480" t="s">
        <v>134</v>
      </c>
      <c r="D1480" t="s">
        <v>384</v>
      </c>
      <c r="E1480">
        <v>18461</v>
      </c>
      <c r="F1480">
        <v>4505</v>
      </c>
      <c r="G1480">
        <v>96.66</v>
      </c>
      <c r="H1480">
        <v>2864</v>
      </c>
      <c r="I1480">
        <v>28630</v>
      </c>
      <c r="J1480">
        <v>122.24</v>
      </c>
      <c r="K1480">
        <v>108.97</v>
      </c>
      <c r="L1480">
        <v>2981</v>
      </c>
      <c r="M1480">
        <v>10574</v>
      </c>
      <c r="N1480">
        <v>1756</v>
      </c>
      <c r="O1480">
        <v>2862</v>
      </c>
      <c r="P1480">
        <v>288</v>
      </c>
    </row>
    <row r="1481" spans="1:16" x14ac:dyDescent="0.2">
      <c r="A1481" t="s">
        <v>340</v>
      </c>
      <c r="B1481" t="s">
        <v>417</v>
      </c>
      <c r="C1481" t="s">
        <v>135</v>
      </c>
      <c r="D1481" t="s">
        <v>384</v>
      </c>
      <c r="E1481">
        <v>4494</v>
      </c>
      <c r="F1481">
        <v>1226</v>
      </c>
      <c r="G1481">
        <v>100.22</v>
      </c>
      <c r="H1481">
        <v>699</v>
      </c>
      <c r="I1481">
        <v>9373</v>
      </c>
      <c r="J1481">
        <v>128.27000000000001</v>
      </c>
      <c r="K1481">
        <v>109.65</v>
      </c>
      <c r="L1481">
        <v>153</v>
      </c>
      <c r="M1481">
        <v>2886</v>
      </c>
      <c r="N1481">
        <v>1237</v>
      </c>
      <c r="O1481">
        <v>173</v>
      </c>
      <c r="P1481">
        <v>45</v>
      </c>
    </row>
    <row r="1482" spans="1:16" x14ac:dyDescent="0.2">
      <c r="A1482" t="s">
        <v>340</v>
      </c>
      <c r="B1482" t="s">
        <v>417</v>
      </c>
      <c r="C1482" t="s">
        <v>136</v>
      </c>
      <c r="D1482" t="s">
        <v>384</v>
      </c>
      <c r="E1482">
        <v>2703</v>
      </c>
      <c r="F1482">
        <v>775</v>
      </c>
      <c r="G1482">
        <v>108.64</v>
      </c>
      <c r="H1482">
        <v>429</v>
      </c>
      <c r="I1482">
        <v>4092</v>
      </c>
      <c r="J1482">
        <v>138.43</v>
      </c>
      <c r="K1482">
        <v>127.78</v>
      </c>
      <c r="L1482">
        <v>111</v>
      </c>
      <c r="M1482">
        <v>1853</v>
      </c>
      <c r="N1482">
        <v>602</v>
      </c>
      <c r="O1482">
        <v>110</v>
      </c>
      <c r="P1482">
        <v>27</v>
      </c>
    </row>
    <row r="1483" spans="1:16" x14ac:dyDescent="0.2">
      <c r="A1483" t="s">
        <v>340</v>
      </c>
      <c r="B1483" t="s">
        <v>417</v>
      </c>
      <c r="C1483" t="s">
        <v>137</v>
      </c>
      <c r="D1483" t="s">
        <v>384</v>
      </c>
      <c r="E1483">
        <v>4119</v>
      </c>
      <c r="F1483">
        <v>778</v>
      </c>
      <c r="G1483">
        <v>88.15</v>
      </c>
      <c r="H1483">
        <v>515</v>
      </c>
      <c r="I1483">
        <v>5820</v>
      </c>
      <c r="J1483">
        <v>117.59</v>
      </c>
      <c r="K1483">
        <v>110.34</v>
      </c>
      <c r="L1483">
        <v>196</v>
      </c>
      <c r="M1483">
        <v>2609</v>
      </c>
      <c r="N1483">
        <v>1118</v>
      </c>
      <c r="O1483">
        <v>171</v>
      </c>
      <c r="P1483">
        <v>25</v>
      </c>
    </row>
    <row r="1484" spans="1:16" x14ac:dyDescent="0.2">
      <c r="A1484" t="s">
        <v>340</v>
      </c>
      <c r="B1484" t="s">
        <v>417</v>
      </c>
      <c r="C1484" t="s">
        <v>138</v>
      </c>
      <c r="D1484" t="s">
        <v>384</v>
      </c>
      <c r="E1484">
        <v>7824</v>
      </c>
      <c r="F1484">
        <v>2418</v>
      </c>
      <c r="G1484">
        <v>113.73</v>
      </c>
      <c r="H1484">
        <v>1215</v>
      </c>
      <c r="I1484">
        <v>15213</v>
      </c>
      <c r="J1484">
        <v>137.66</v>
      </c>
      <c r="K1484">
        <v>119.49</v>
      </c>
      <c r="L1484">
        <v>445</v>
      </c>
      <c r="M1484">
        <v>5613</v>
      </c>
      <c r="N1484">
        <v>1358</v>
      </c>
      <c r="O1484">
        <v>335</v>
      </c>
      <c r="P1484">
        <v>73</v>
      </c>
    </row>
    <row r="1485" spans="1:16" x14ac:dyDescent="0.2">
      <c r="A1485" t="s">
        <v>340</v>
      </c>
      <c r="B1485" t="s">
        <v>417</v>
      </c>
      <c r="C1485" t="s">
        <v>139</v>
      </c>
      <c r="D1485" t="s">
        <v>384</v>
      </c>
      <c r="E1485">
        <v>7138</v>
      </c>
      <c r="F1485">
        <v>2030</v>
      </c>
      <c r="G1485">
        <v>115.57</v>
      </c>
      <c r="H1485">
        <v>955</v>
      </c>
      <c r="I1485">
        <v>11606</v>
      </c>
      <c r="J1485">
        <v>140.37</v>
      </c>
      <c r="K1485">
        <v>131.01</v>
      </c>
      <c r="L1485">
        <v>260</v>
      </c>
      <c r="M1485">
        <v>5034</v>
      </c>
      <c r="N1485">
        <v>1506</v>
      </c>
      <c r="O1485">
        <v>279</v>
      </c>
      <c r="P1485">
        <v>59</v>
      </c>
    </row>
    <row r="1486" spans="1:16" x14ac:dyDescent="0.2">
      <c r="A1486" t="s">
        <v>340</v>
      </c>
      <c r="B1486" t="s">
        <v>417</v>
      </c>
      <c r="C1486" t="s">
        <v>140</v>
      </c>
      <c r="D1486" t="s">
        <v>384</v>
      </c>
      <c r="E1486">
        <v>4970</v>
      </c>
      <c r="F1486">
        <v>1354</v>
      </c>
      <c r="G1486">
        <v>104.61</v>
      </c>
      <c r="H1486">
        <v>812</v>
      </c>
      <c r="I1486">
        <v>9251</v>
      </c>
      <c r="J1486">
        <v>135.53</v>
      </c>
      <c r="K1486">
        <v>118.98</v>
      </c>
      <c r="L1486">
        <v>157</v>
      </c>
      <c r="M1486">
        <v>3479</v>
      </c>
      <c r="N1486">
        <v>1084</v>
      </c>
      <c r="O1486">
        <v>197</v>
      </c>
      <c r="P1486">
        <v>53</v>
      </c>
    </row>
    <row r="1487" spans="1:16" x14ac:dyDescent="0.2">
      <c r="A1487" t="s">
        <v>340</v>
      </c>
      <c r="B1487" t="s">
        <v>417</v>
      </c>
      <c r="C1487" t="s">
        <v>141</v>
      </c>
      <c r="D1487" t="s">
        <v>384</v>
      </c>
      <c r="E1487">
        <v>10510</v>
      </c>
      <c r="F1487">
        <v>2018</v>
      </c>
      <c r="G1487">
        <v>85.5</v>
      </c>
      <c r="H1487">
        <v>1828</v>
      </c>
      <c r="I1487">
        <v>23978</v>
      </c>
      <c r="J1487">
        <v>98.96</v>
      </c>
      <c r="K1487">
        <v>77.959999999999994</v>
      </c>
      <c r="L1487">
        <v>590</v>
      </c>
      <c r="M1487">
        <v>5708</v>
      </c>
      <c r="N1487">
        <v>3773</v>
      </c>
      <c r="O1487">
        <v>371</v>
      </c>
      <c r="P1487">
        <v>68</v>
      </c>
    </row>
    <row r="1488" spans="1:16" x14ac:dyDescent="0.2">
      <c r="A1488" t="s">
        <v>340</v>
      </c>
      <c r="B1488" t="s">
        <v>417</v>
      </c>
      <c r="C1488" t="s">
        <v>142</v>
      </c>
      <c r="D1488" t="s">
        <v>384</v>
      </c>
      <c r="E1488">
        <v>1709</v>
      </c>
      <c r="F1488">
        <v>403</v>
      </c>
      <c r="G1488">
        <v>97.36</v>
      </c>
      <c r="H1488">
        <v>298</v>
      </c>
      <c r="I1488">
        <v>2525</v>
      </c>
      <c r="J1488">
        <v>132.41</v>
      </c>
      <c r="K1488">
        <v>127.44</v>
      </c>
      <c r="L1488">
        <v>71</v>
      </c>
      <c r="M1488">
        <v>1183</v>
      </c>
      <c r="N1488">
        <v>374</v>
      </c>
      <c r="O1488">
        <v>63</v>
      </c>
      <c r="P1488">
        <v>17</v>
      </c>
    </row>
    <row r="1489" spans="1:16" x14ac:dyDescent="0.2">
      <c r="A1489" t="s">
        <v>340</v>
      </c>
      <c r="B1489" t="s">
        <v>417</v>
      </c>
      <c r="C1489" t="s">
        <v>143</v>
      </c>
      <c r="D1489" t="s">
        <v>384</v>
      </c>
      <c r="E1489">
        <v>5735</v>
      </c>
      <c r="F1489">
        <v>1017</v>
      </c>
      <c r="G1489">
        <v>85.76</v>
      </c>
      <c r="H1489">
        <v>715</v>
      </c>
      <c r="I1489">
        <v>7573</v>
      </c>
      <c r="J1489">
        <v>119.49</v>
      </c>
      <c r="K1489">
        <v>109.29</v>
      </c>
      <c r="L1489">
        <v>235</v>
      </c>
      <c r="M1489">
        <v>3822</v>
      </c>
      <c r="N1489">
        <v>1439</v>
      </c>
      <c r="O1489">
        <v>185</v>
      </c>
      <c r="P1489">
        <v>54</v>
      </c>
    </row>
    <row r="1490" spans="1:16" x14ac:dyDescent="0.2">
      <c r="A1490" t="s">
        <v>340</v>
      </c>
      <c r="B1490" t="s">
        <v>417</v>
      </c>
      <c r="C1490" t="s">
        <v>144</v>
      </c>
      <c r="D1490" t="s">
        <v>384</v>
      </c>
      <c r="E1490">
        <v>21440</v>
      </c>
      <c r="F1490">
        <v>3499</v>
      </c>
      <c r="G1490">
        <v>82.25</v>
      </c>
      <c r="H1490">
        <v>2505</v>
      </c>
      <c r="I1490">
        <v>27735</v>
      </c>
      <c r="J1490">
        <v>143.18</v>
      </c>
      <c r="K1490">
        <v>111.75</v>
      </c>
      <c r="L1490">
        <v>1200</v>
      </c>
      <c r="M1490">
        <v>13504</v>
      </c>
      <c r="N1490">
        <v>5871</v>
      </c>
      <c r="O1490">
        <v>710</v>
      </c>
      <c r="P1490">
        <v>155</v>
      </c>
    </row>
    <row r="1491" spans="1:16" x14ac:dyDescent="0.2">
      <c r="A1491" t="s">
        <v>340</v>
      </c>
      <c r="B1491" t="s">
        <v>417</v>
      </c>
      <c r="C1491" t="s">
        <v>145</v>
      </c>
      <c r="D1491" t="s">
        <v>384</v>
      </c>
      <c r="E1491">
        <v>3406</v>
      </c>
      <c r="F1491">
        <v>799</v>
      </c>
      <c r="G1491">
        <v>98.02</v>
      </c>
      <c r="H1491">
        <v>529</v>
      </c>
      <c r="I1491">
        <v>6110</v>
      </c>
      <c r="J1491">
        <v>129.36000000000001</v>
      </c>
      <c r="K1491">
        <v>117.68</v>
      </c>
      <c r="L1491">
        <v>132</v>
      </c>
      <c r="M1491">
        <v>2236</v>
      </c>
      <c r="N1491">
        <v>885</v>
      </c>
      <c r="O1491">
        <v>122</v>
      </c>
      <c r="P1491">
        <v>31</v>
      </c>
    </row>
    <row r="1492" spans="1:16" x14ac:dyDescent="0.2">
      <c r="A1492" t="s">
        <v>340</v>
      </c>
      <c r="B1492" t="s">
        <v>417</v>
      </c>
      <c r="C1492" t="s">
        <v>146</v>
      </c>
      <c r="D1492" t="s">
        <v>384</v>
      </c>
      <c r="E1492">
        <v>8102</v>
      </c>
      <c r="F1492">
        <v>1697</v>
      </c>
      <c r="G1492">
        <v>95.35</v>
      </c>
      <c r="H1492">
        <v>1233</v>
      </c>
      <c r="I1492">
        <v>13468</v>
      </c>
      <c r="J1492">
        <v>120.51</v>
      </c>
      <c r="K1492">
        <v>109.62</v>
      </c>
      <c r="L1492">
        <v>379</v>
      </c>
      <c r="M1492">
        <v>5374</v>
      </c>
      <c r="N1492">
        <v>1950</v>
      </c>
      <c r="O1492">
        <v>326</v>
      </c>
      <c r="P1492">
        <v>72</v>
      </c>
    </row>
    <row r="1493" spans="1:16" x14ac:dyDescent="0.2">
      <c r="A1493" t="s">
        <v>340</v>
      </c>
      <c r="B1493" t="s">
        <v>417</v>
      </c>
      <c r="C1493" t="s">
        <v>147</v>
      </c>
      <c r="D1493" t="s">
        <v>384</v>
      </c>
      <c r="E1493">
        <v>2933</v>
      </c>
      <c r="F1493">
        <v>1066</v>
      </c>
      <c r="G1493">
        <v>128.09</v>
      </c>
      <c r="H1493">
        <v>445</v>
      </c>
      <c r="I1493">
        <v>4957</v>
      </c>
      <c r="J1493">
        <v>158.76</v>
      </c>
      <c r="K1493">
        <v>148.85</v>
      </c>
      <c r="L1493">
        <v>131</v>
      </c>
      <c r="M1493">
        <v>2121</v>
      </c>
      <c r="N1493">
        <v>543</v>
      </c>
      <c r="O1493">
        <v>105</v>
      </c>
      <c r="P1493">
        <v>33</v>
      </c>
    </row>
    <row r="1494" spans="1:16" x14ac:dyDescent="0.2">
      <c r="A1494" t="s">
        <v>340</v>
      </c>
      <c r="B1494" t="s">
        <v>417</v>
      </c>
      <c r="C1494" t="s">
        <v>148</v>
      </c>
      <c r="D1494" t="s">
        <v>384</v>
      </c>
      <c r="E1494">
        <v>3707</v>
      </c>
      <c r="F1494">
        <v>1343</v>
      </c>
      <c r="G1494">
        <v>120.64</v>
      </c>
      <c r="H1494">
        <v>467</v>
      </c>
      <c r="I1494">
        <v>5182</v>
      </c>
      <c r="J1494">
        <v>148.13999999999999</v>
      </c>
      <c r="K1494">
        <v>127.01</v>
      </c>
      <c r="L1494">
        <v>141</v>
      </c>
      <c r="M1494">
        <v>2516</v>
      </c>
      <c r="N1494">
        <v>877</v>
      </c>
      <c r="O1494">
        <v>149</v>
      </c>
      <c r="P1494">
        <v>24</v>
      </c>
    </row>
    <row r="1495" spans="1:16" x14ac:dyDescent="0.2">
      <c r="A1495" t="s">
        <v>340</v>
      </c>
      <c r="B1495" t="s">
        <v>417</v>
      </c>
      <c r="C1495" t="s">
        <v>149</v>
      </c>
      <c r="D1495" t="s">
        <v>384</v>
      </c>
      <c r="E1495">
        <v>451</v>
      </c>
      <c r="F1495">
        <v>141</v>
      </c>
      <c r="G1495">
        <v>127.79</v>
      </c>
      <c r="H1495">
        <v>77</v>
      </c>
      <c r="I1495">
        <v>1312</v>
      </c>
      <c r="J1495">
        <v>143.97</v>
      </c>
      <c r="K1495">
        <v>132.68</v>
      </c>
      <c r="L1495">
        <v>11</v>
      </c>
      <c r="M1495">
        <v>343</v>
      </c>
      <c r="N1495">
        <v>57</v>
      </c>
      <c r="O1495">
        <v>33</v>
      </c>
      <c r="P1495">
        <v>7</v>
      </c>
    </row>
    <row r="1496" spans="1:16" x14ac:dyDescent="0.2">
      <c r="A1496" t="s">
        <v>340</v>
      </c>
      <c r="B1496" t="s">
        <v>417</v>
      </c>
      <c r="C1496" t="s">
        <v>150</v>
      </c>
      <c r="D1496" t="s">
        <v>384</v>
      </c>
      <c r="E1496">
        <v>16290</v>
      </c>
      <c r="F1496">
        <v>3557</v>
      </c>
      <c r="G1496">
        <v>92.43</v>
      </c>
      <c r="H1496">
        <v>2169</v>
      </c>
      <c r="I1496">
        <v>25610</v>
      </c>
      <c r="J1496">
        <v>128.61000000000001</v>
      </c>
      <c r="K1496">
        <v>114.69</v>
      </c>
      <c r="L1496">
        <v>843</v>
      </c>
      <c r="M1496">
        <v>10541</v>
      </c>
      <c r="N1496">
        <v>4204</v>
      </c>
      <c r="O1496">
        <v>567</v>
      </c>
      <c r="P1496">
        <v>135</v>
      </c>
    </row>
    <row r="1497" spans="1:16" x14ac:dyDescent="0.2">
      <c r="A1497" t="s">
        <v>340</v>
      </c>
      <c r="B1497" t="s">
        <v>417</v>
      </c>
      <c r="C1497" t="s">
        <v>360</v>
      </c>
      <c r="D1497" t="s">
        <v>384</v>
      </c>
      <c r="E1497">
        <v>309</v>
      </c>
      <c r="F1497">
        <v>146</v>
      </c>
      <c r="G1497">
        <v>122.82</v>
      </c>
      <c r="H1497">
        <v>63</v>
      </c>
      <c r="I1497">
        <v>826</v>
      </c>
      <c r="J1497">
        <v>83.95</v>
      </c>
      <c r="K1497">
        <v>81.72</v>
      </c>
      <c r="L1497">
        <v>4</v>
      </c>
      <c r="M1497">
        <v>242</v>
      </c>
      <c r="N1497">
        <v>43</v>
      </c>
      <c r="O1497">
        <v>16</v>
      </c>
      <c r="P1497">
        <v>4</v>
      </c>
    </row>
    <row r="1498" spans="1:16" x14ac:dyDescent="0.2">
      <c r="A1498" t="s">
        <v>340</v>
      </c>
      <c r="B1498" t="s">
        <v>417</v>
      </c>
      <c r="C1498" t="s">
        <v>151</v>
      </c>
      <c r="D1498" t="s">
        <v>384</v>
      </c>
      <c r="E1498">
        <v>770</v>
      </c>
      <c r="F1498">
        <v>252</v>
      </c>
      <c r="G1498">
        <v>116.96</v>
      </c>
      <c r="H1498">
        <v>170</v>
      </c>
      <c r="I1498">
        <v>1933</v>
      </c>
      <c r="J1498">
        <v>130.84</v>
      </c>
      <c r="K1498">
        <v>115.64</v>
      </c>
      <c r="L1498">
        <v>19</v>
      </c>
      <c r="M1498">
        <v>539</v>
      </c>
      <c r="N1498">
        <v>172</v>
      </c>
      <c r="O1498">
        <v>28</v>
      </c>
      <c r="P1498">
        <v>12</v>
      </c>
    </row>
    <row r="1499" spans="1:16" x14ac:dyDescent="0.2">
      <c r="A1499" t="s">
        <v>340</v>
      </c>
      <c r="B1499" t="s">
        <v>417</v>
      </c>
      <c r="C1499" t="s">
        <v>869</v>
      </c>
      <c r="D1499" t="s">
        <v>384</v>
      </c>
      <c r="I1499">
        <v>3</v>
      </c>
      <c r="K1499">
        <v>76</v>
      </c>
    </row>
    <row r="1500" spans="1:16" x14ac:dyDescent="0.2">
      <c r="A1500" t="s">
        <v>340</v>
      </c>
      <c r="B1500" t="s">
        <v>417</v>
      </c>
      <c r="C1500" t="s">
        <v>152</v>
      </c>
      <c r="D1500" t="s">
        <v>384</v>
      </c>
      <c r="E1500">
        <v>13509</v>
      </c>
      <c r="F1500">
        <v>2747</v>
      </c>
      <c r="G1500">
        <v>89.79</v>
      </c>
      <c r="H1500">
        <v>1681</v>
      </c>
      <c r="I1500">
        <v>20377</v>
      </c>
      <c r="J1500">
        <v>126.44</v>
      </c>
      <c r="K1500">
        <v>113.35</v>
      </c>
      <c r="L1500">
        <v>594</v>
      </c>
      <c r="M1500">
        <v>8625</v>
      </c>
      <c r="N1500">
        <v>3689</v>
      </c>
      <c r="O1500">
        <v>496</v>
      </c>
      <c r="P1500">
        <v>105</v>
      </c>
    </row>
    <row r="1501" spans="1:16" x14ac:dyDescent="0.2">
      <c r="A1501" t="s">
        <v>340</v>
      </c>
      <c r="B1501" t="s">
        <v>417</v>
      </c>
      <c r="C1501" t="s">
        <v>153</v>
      </c>
      <c r="D1501" t="s">
        <v>384</v>
      </c>
      <c r="E1501">
        <v>1403</v>
      </c>
      <c r="F1501">
        <v>296</v>
      </c>
      <c r="G1501">
        <v>95.62</v>
      </c>
      <c r="H1501">
        <v>203</v>
      </c>
      <c r="I1501">
        <v>2366</v>
      </c>
      <c r="J1501">
        <v>122.34</v>
      </c>
      <c r="K1501">
        <v>116.38</v>
      </c>
      <c r="L1501">
        <v>74</v>
      </c>
      <c r="M1501">
        <v>875</v>
      </c>
      <c r="N1501">
        <v>375</v>
      </c>
      <c r="O1501">
        <v>60</v>
      </c>
      <c r="P1501">
        <v>19</v>
      </c>
    </row>
    <row r="1502" spans="1:16" x14ac:dyDescent="0.2">
      <c r="A1502" t="s">
        <v>340</v>
      </c>
      <c r="B1502" t="s">
        <v>417</v>
      </c>
      <c r="C1502" t="s">
        <v>78</v>
      </c>
      <c r="D1502" t="s">
        <v>384</v>
      </c>
      <c r="E1502">
        <v>294</v>
      </c>
      <c r="F1502">
        <v>135</v>
      </c>
      <c r="G1502">
        <v>142.85</v>
      </c>
      <c r="H1502">
        <v>70</v>
      </c>
      <c r="I1502">
        <v>696</v>
      </c>
      <c r="J1502">
        <v>117.47</v>
      </c>
      <c r="K1502">
        <v>127.65</v>
      </c>
      <c r="L1502">
        <v>5</v>
      </c>
      <c r="M1502">
        <v>208</v>
      </c>
      <c r="N1502">
        <v>68</v>
      </c>
      <c r="O1502">
        <v>11</v>
      </c>
      <c r="P1502">
        <v>2</v>
      </c>
    </row>
    <row r="1503" spans="1:16" x14ac:dyDescent="0.2">
      <c r="A1503" t="s">
        <v>340</v>
      </c>
      <c r="B1503" t="s">
        <v>417</v>
      </c>
      <c r="C1503" t="s">
        <v>154</v>
      </c>
      <c r="D1503" t="s">
        <v>384</v>
      </c>
      <c r="E1503">
        <v>1120</v>
      </c>
      <c r="F1503">
        <v>174</v>
      </c>
      <c r="G1503">
        <v>83.9</v>
      </c>
      <c r="H1503">
        <v>161</v>
      </c>
      <c r="I1503">
        <v>1815</v>
      </c>
      <c r="J1503">
        <v>110.58</v>
      </c>
      <c r="K1503">
        <v>107.35</v>
      </c>
      <c r="L1503">
        <v>53</v>
      </c>
      <c r="M1503">
        <v>664</v>
      </c>
      <c r="N1503">
        <v>346</v>
      </c>
      <c r="O1503">
        <v>51</v>
      </c>
      <c r="P1503">
        <v>6</v>
      </c>
    </row>
    <row r="1504" spans="1:16" x14ac:dyDescent="0.2">
      <c r="A1504" t="s">
        <v>340</v>
      </c>
      <c r="B1504" t="s">
        <v>417</v>
      </c>
      <c r="C1504" t="s">
        <v>155</v>
      </c>
      <c r="D1504" t="s">
        <v>384</v>
      </c>
      <c r="E1504">
        <v>1275</v>
      </c>
      <c r="F1504">
        <v>299</v>
      </c>
      <c r="G1504">
        <v>108.95</v>
      </c>
      <c r="H1504">
        <v>208</v>
      </c>
      <c r="I1504">
        <v>2134</v>
      </c>
      <c r="J1504">
        <v>124.9</v>
      </c>
      <c r="K1504">
        <v>117.51</v>
      </c>
      <c r="L1504">
        <v>48</v>
      </c>
      <c r="M1504">
        <v>894</v>
      </c>
      <c r="N1504">
        <v>266</v>
      </c>
      <c r="O1504">
        <v>53</v>
      </c>
      <c r="P1504">
        <v>14</v>
      </c>
    </row>
    <row r="1505" spans="1:16" x14ac:dyDescent="0.2">
      <c r="A1505" t="s">
        <v>340</v>
      </c>
      <c r="B1505" t="s">
        <v>417</v>
      </c>
      <c r="C1505" t="s">
        <v>156</v>
      </c>
      <c r="D1505" t="s">
        <v>384</v>
      </c>
      <c r="E1505">
        <v>1775</v>
      </c>
      <c r="F1505">
        <v>332</v>
      </c>
      <c r="G1505">
        <v>92.38</v>
      </c>
      <c r="H1505">
        <v>262</v>
      </c>
      <c r="I1505">
        <v>2670</v>
      </c>
      <c r="J1505">
        <v>114.92</v>
      </c>
      <c r="K1505">
        <v>106.38</v>
      </c>
      <c r="L1505">
        <v>77</v>
      </c>
      <c r="M1505">
        <v>1218</v>
      </c>
      <c r="N1505">
        <v>418</v>
      </c>
      <c r="O1505">
        <v>48</v>
      </c>
      <c r="P1505">
        <v>14</v>
      </c>
    </row>
    <row r="1506" spans="1:16" x14ac:dyDescent="0.2">
      <c r="A1506" t="s">
        <v>340</v>
      </c>
      <c r="B1506" t="s">
        <v>417</v>
      </c>
      <c r="C1506" t="s">
        <v>361</v>
      </c>
      <c r="D1506" t="s">
        <v>384</v>
      </c>
      <c r="E1506">
        <v>1156</v>
      </c>
      <c r="F1506">
        <v>211</v>
      </c>
      <c r="G1506">
        <v>81.739999999999995</v>
      </c>
      <c r="H1506">
        <v>131</v>
      </c>
      <c r="I1506">
        <v>1523</v>
      </c>
      <c r="J1506">
        <v>122.92</v>
      </c>
      <c r="K1506">
        <v>118.65</v>
      </c>
      <c r="L1506">
        <v>33</v>
      </c>
      <c r="M1506">
        <v>808</v>
      </c>
      <c r="N1506">
        <v>272</v>
      </c>
      <c r="O1506">
        <v>38</v>
      </c>
      <c r="P1506">
        <v>5</v>
      </c>
    </row>
    <row r="1507" spans="1:16" x14ac:dyDescent="0.2">
      <c r="A1507" t="s">
        <v>340</v>
      </c>
      <c r="B1507" t="s">
        <v>417</v>
      </c>
      <c r="C1507" t="s">
        <v>157</v>
      </c>
      <c r="D1507" t="s">
        <v>384</v>
      </c>
      <c r="E1507">
        <v>1875</v>
      </c>
      <c r="F1507">
        <v>586</v>
      </c>
      <c r="G1507">
        <v>112.63</v>
      </c>
      <c r="H1507">
        <v>314</v>
      </c>
      <c r="I1507">
        <v>4202</v>
      </c>
      <c r="J1507">
        <v>129.25</v>
      </c>
      <c r="K1507">
        <v>114.18</v>
      </c>
      <c r="L1507">
        <v>72</v>
      </c>
      <c r="M1507">
        <v>1279</v>
      </c>
      <c r="N1507">
        <v>439</v>
      </c>
      <c r="O1507">
        <v>69</v>
      </c>
      <c r="P1507">
        <v>16</v>
      </c>
    </row>
    <row r="1508" spans="1:16" x14ac:dyDescent="0.2">
      <c r="A1508" t="s">
        <v>340</v>
      </c>
      <c r="B1508" t="s">
        <v>417</v>
      </c>
      <c r="C1508" t="s">
        <v>158</v>
      </c>
      <c r="D1508" t="s">
        <v>384</v>
      </c>
      <c r="E1508">
        <v>1901</v>
      </c>
      <c r="F1508">
        <v>450</v>
      </c>
      <c r="G1508">
        <v>98.92</v>
      </c>
      <c r="H1508">
        <v>271</v>
      </c>
      <c r="I1508">
        <v>3133</v>
      </c>
      <c r="J1508">
        <v>124.86</v>
      </c>
      <c r="K1508">
        <v>114.28</v>
      </c>
      <c r="L1508">
        <v>80</v>
      </c>
      <c r="M1508">
        <v>1321</v>
      </c>
      <c r="N1508">
        <v>433</v>
      </c>
      <c r="O1508">
        <v>56</v>
      </c>
      <c r="P1508">
        <v>11</v>
      </c>
    </row>
    <row r="1509" spans="1:16" x14ac:dyDescent="0.2">
      <c r="A1509" t="s">
        <v>340</v>
      </c>
      <c r="B1509" t="s">
        <v>417</v>
      </c>
      <c r="C1509" t="s">
        <v>159</v>
      </c>
      <c r="D1509" t="s">
        <v>384</v>
      </c>
      <c r="E1509">
        <v>554</v>
      </c>
      <c r="F1509">
        <v>214</v>
      </c>
      <c r="G1509">
        <v>130.54</v>
      </c>
      <c r="H1509">
        <v>129</v>
      </c>
      <c r="I1509">
        <v>1343</v>
      </c>
      <c r="J1509">
        <v>148.09</v>
      </c>
      <c r="K1509">
        <v>127.75</v>
      </c>
      <c r="L1509">
        <v>12</v>
      </c>
      <c r="M1509">
        <v>380</v>
      </c>
      <c r="N1509">
        <v>127</v>
      </c>
      <c r="O1509">
        <v>26</v>
      </c>
      <c r="P1509">
        <v>9</v>
      </c>
    </row>
    <row r="1510" spans="1:16" x14ac:dyDescent="0.2">
      <c r="A1510" t="s">
        <v>340</v>
      </c>
      <c r="B1510" t="s">
        <v>417</v>
      </c>
      <c r="C1510" t="s">
        <v>160</v>
      </c>
      <c r="D1510" t="s">
        <v>384</v>
      </c>
      <c r="E1510">
        <v>1042</v>
      </c>
      <c r="F1510">
        <v>256</v>
      </c>
      <c r="G1510">
        <v>105.73</v>
      </c>
      <c r="H1510">
        <v>156</v>
      </c>
      <c r="I1510">
        <v>1468</v>
      </c>
      <c r="J1510">
        <v>158.55000000000001</v>
      </c>
      <c r="K1510">
        <v>135.88999999999999</v>
      </c>
      <c r="L1510">
        <v>88</v>
      </c>
      <c r="M1510">
        <v>686</v>
      </c>
      <c r="N1510">
        <v>214</v>
      </c>
      <c r="O1510">
        <v>44</v>
      </c>
      <c r="P1510">
        <v>10</v>
      </c>
    </row>
    <row r="1511" spans="1:16" x14ac:dyDescent="0.2">
      <c r="A1511" t="s">
        <v>340</v>
      </c>
      <c r="B1511" t="s">
        <v>346</v>
      </c>
      <c r="C1511" t="s">
        <v>112</v>
      </c>
      <c r="D1511" t="s">
        <v>384</v>
      </c>
      <c r="E1511">
        <v>2731</v>
      </c>
      <c r="F1511">
        <v>704</v>
      </c>
      <c r="G1511">
        <v>100.96</v>
      </c>
      <c r="H1511">
        <v>467</v>
      </c>
      <c r="I1511">
        <v>5396</v>
      </c>
      <c r="J1511">
        <v>125.36</v>
      </c>
      <c r="K1511">
        <v>113.8</v>
      </c>
      <c r="L1511">
        <v>120</v>
      </c>
      <c r="M1511">
        <v>1875</v>
      </c>
      <c r="N1511">
        <v>616</v>
      </c>
      <c r="O1511">
        <v>93</v>
      </c>
      <c r="P1511">
        <v>27</v>
      </c>
    </row>
    <row r="1512" spans="1:16" x14ac:dyDescent="0.2">
      <c r="A1512" t="s">
        <v>340</v>
      </c>
      <c r="B1512" t="s">
        <v>346</v>
      </c>
      <c r="C1512" t="s">
        <v>86</v>
      </c>
      <c r="D1512" t="s">
        <v>384</v>
      </c>
      <c r="E1512">
        <v>10780</v>
      </c>
      <c r="F1512">
        <v>3420</v>
      </c>
      <c r="G1512">
        <v>114.86</v>
      </c>
      <c r="H1512">
        <v>1770</v>
      </c>
      <c r="I1512">
        <v>18713</v>
      </c>
      <c r="J1512">
        <v>136.44</v>
      </c>
      <c r="K1512">
        <v>120.99</v>
      </c>
      <c r="L1512">
        <v>1280</v>
      </c>
      <c r="M1512">
        <v>6466</v>
      </c>
      <c r="N1512">
        <v>1101</v>
      </c>
      <c r="O1512">
        <v>1776</v>
      </c>
      <c r="P1512">
        <v>157</v>
      </c>
    </row>
    <row r="1513" spans="1:16" x14ac:dyDescent="0.2">
      <c r="A1513" t="s">
        <v>340</v>
      </c>
      <c r="B1513" t="s">
        <v>346</v>
      </c>
      <c r="C1513" t="s">
        <v>89</v>
      </c>
      <c r="D1513" t="s">
        <v>384</v>
      </c>
      <c r="E1513">
        <v>13483</v>
      </c>
      <c r="F1513">
        <v>2710</v>
      </c>
      <c r="G1513">
        <v>93.06</v>
      </c>
      <c r="H1513">
        <v>1568</v>
      </c>
      <c r="I1513">
        <v>17345</v>
      </c>
      <c r="J1513">
        <v>130.66</v>
      </c>
      <c r="K1513">
        <v>120.71</v>
      </c>
      <c r="L1513">
        <v>722</v>
      </c>
      <c r="M1513">
        <v>8471</v>
      </c>
      <c r="N1513">
        <v>3736</v>
      </c>
      <c r="O1513">
        <v>453</v>
      </c>
      <c r="P1513">
        <v>101</v>
      </c>
    </row>
    <row r="1514" spans="1:16" x14ac:dyDescent="0.2">
      <c r="A1514" t="s">
        <v>340</v>
      </c>
      <c r="B1514" t="s">
        <v>346</v>
      </c>
      <c r="C1514" t="s">
        <v>135</v>
      </c>
      <c r="D1514" t="s">
        <v>384</v>
      </c>
      <c r="E1514">
        <v>4483</v>
      </c>
      <c r="F1514">
        <v>1221</v>
      </c>
      <c r="G1514">
        <v>99.98</v>
      </c>
      <c r="H1514">
        <v>695</v>
      </c>
      <c r="I1514">
        <v>9331</v>
      </c>
      <c r="J1514">
        <v>128.86000000000001</v>
      </c>
      <c r="K1514">
        <v>109.69</v>
      </c>
      <c r="L1514">
        <v>152</v>
      </c>
      <c r="M1514">
        <v>2879</v>
      </c>
      <c r="N1514">
        <v>1235</v>
      </c>
      <c r="O1514">
        <v>172</v>
      </c>
      <c r="P1514">
        <v>45</v>
      </c>
    </row>
    <row r="1515" spans="1:16" x14ac:dyDescent="0.2">
      <c r="A1515" t="s">
        <v>340</v>
      </c>
      <c r="B1515" t="s">
        <v>346</v>
      </c>
      <c r="C1515" t="s">
        <v>78</v>
      </c>
      <c r="D1515" t="s">
        <v>384</v>
      </c>
      <c r="E1515">
        <v>292</v>
      </c>
      <c r="F1515">
        <v>133</v>
      </c>
      <c r="G1515">
        <v>142.34</v>
      </c>
      <c r="H1515">
        <v>70</v>
      </c>
      <c r="I1515">
        <v>691</v>
      </c>
      <c r="J1515">
        <v>117.47</v>
      </c>
      <c r="K1515">
        <v>128.4</v>
      </c>
      <c r="L1515">
        <v>5</v>
      </c>
      <c r="M1515">
        <v>206</v>
      </c>
      <c r="N1515">
        <v>68</v>
      </c>
      <c r="O1515">
        <v>11</v>
      </c>
      <c r="P1515">
        <v>2</v>
      </c>
    </row>
    <row r="1516" spans="1:16" x14ac:dyDescent="0.2">
      <c r="A1516" t="s">
        <v>340</v>
      </c>
      <c r="B1516" t="s">
        <v>346</v>
      </c>
      <c r="C1516" t="s">
        <v>156</v>
      </c>
      <c r="D1516" t="s">
        <v>384</v>
      </c>
      <c r="E1516">
        <v>1772</v>
      </c>
      <c r="F1516">
        <v>332</v>
      </c>
      <c r="G1516">
        <v>92.4</v>
      </c>
      <c r="H1516">
        <v>262</v>
      </c>
      <c r="I1516">
        <v>2661</v>
      </c>
      <c r="J1516">
        <v>114.92</v>
      </c>
      <c r="K1516">
        <v>106.52</v>
      </c>
      <c r="L1516">
        <v>77</v>
      </c>
      <c r="M1516">
        <v>1217</v>
      </c>
      <c r="N1516">
        <v>416</v>
      </c>
      <c r="O1516">
        <v>48</v>
      </c>
      <c r="P1516">
        <v>14</v>
      </c>
    </row>
    <row r="1517" spans="1:16" x14ac:dyDescent="0.2">
      <c r="A1517" t="s">
        <v>340</v>
      </c>
      <c r="B1517" t="s">
        <v>347</v>
      </c>
      <c r="C1517" t="s">
        <v>86</v>
      </c>
      <c r="D1517" t="s">
        <v>384</v>
      </c>
      <c r="E1517">
        <v>5934</v>
      </c>
      <c r="F1517">
        <v>1452</v>
      </c>
      <c r="G1517">
        <v>90.32</v>
      </c>
      <c r="H1517">
        <v>915</v>
      </c>
      <c r="I1517">
        <v>9605</v>
      </c>
      <c r="J1517">
        <v>127.22</v>
      </c>
      <c r="K1517">
        <v>104.77</v>
      </c>
      <c r="L1517">
        <v>1969</v>
      </c>
      <c r="M1517">
        <v>2588</v>
      </c>
      <c r="N1517">
        <v>21</v>
      </c>
      <c r="O1517">
        <v>1232</v>
      </c>
      <c r="P1517">
        <v>124</v>
      </c>
    </row>
    <row r="1518" spans="1:16" x14ac:dyDescent="0.2">
      <c r="A1518" t="s">
        <v>340</v>
      </c>
      <c r="B1518" t="s">
        <v>347</v>
      </c>
      <c r="C1518" t="s">
        <v>130</v>
      </c>
      <c r="D1518" t="s">
        <v>384</v>
      </c>
      <c r="E1518">
        <v>7282</v>
      </c>
      <c r="F1518">
        <v>1260</v>
      </c>
      <c r="G1518">
        <v>82.06</v>
      </c>
      <c r="H1518">
        <v>592</v>
      </c>
      <c r="I1518">
        <v>9613</v>
      </c>
      <c r="J1518">
        <v>108.1</v>
      </c>
      <c r="K1518">
        <v>71.319999999999993</v>
      </c>
      <c r="L1518">
        <v>2600</v>
      </c>
      <c r="M1518">
        <v>3077</v>
      </c>
      <c r="N1518">
        <v>40</v>
      </c>
      <c r="O1518">
        <v>1481</v>
      </c>
      <c r="P1518">
        <v>84</v>
      </c>
    </row>
    <row r="1519" spans="1:16" x14ac:dyDescent="0.2">
      <c r="A1519" t="s">
        <v>340</v>
      </c>
      <c r="B1519" t="s">
        <v>348</v>
      </c>
      <c r="C1519" t="s">
        <v>120</v>
      </c>
      <c r="D1519" t="s">
        <v>384</v>
      </c>
      <c r="E1519">
        <v>16</v>
      </c>
      <c r="F1519">
        <v>6</v>
      </c>
      <c r="G1519">
        <v>113.31</v>
      </c>
      <c r="H1519">
        <v>1</v>
      </c>
      <c r="I1519">
        <v>49</v>
      </c>
      <c r="J1519">
        <v>242</v>
      </c>
      <c r="K1519">
        <v>138.33000000000001</v>
      </c>
      <c r="L1519">
        <v>2</v>
      </c>
      <c r="M1519">
        <v>14</v>
      </c>
    </row>
    <row r="1520" spans="1:16" x14ac:dyDescent="0.2">
      <c r="A1520" t="s">
        <v>340</v>
      </c>
      <c r="B1520" t="s">
        <v>349</v>
      </c>
      <c r="C1520" t="s">
        <v>649</v>
      </c>
      <c r="D1520" t="s">
        <v>384</v>
      </c>
      <c r="E1520">
        <v>15</v>
      </c>
      <c r="F1520">
        <v>6</v>
      </c>
      <c r="G1520">
        <v>176.27</v>
      </c>
      <c r="H1520">
        <v>4</v>
      </c>
      <c r="I1520">
        <v>55</v>
      </c>
      <c r="J1520">
        <v>818.25</v>
      </c>
      <c r="K1520">
        <v>366.13</v>
      </c>
      <c r="M1520">
        <v>13</v>
      </c>
      <c r="N1520">
        <v>2</v>
      </c>
    </row>
    <row r="1521" spans="1:16" x14ac:dyDescent="0.2">
      <c r="A1521" t="s">
        <v>340</v>
      </c>
      <c r="B1521" t="s">
        <v>349</v>
      </c>
      <c r="C1521" t="s">
        <v>120</v>
      </c>
      <c r="D1521" t="s">
        <v>384</v>
      </c>
      <c r="I1521">
        <v>7</v>
      </c>
      <c r="K1521">
        <v>330.43</v>
      </c>
    </row>
    <row r="1522" spans="1:16" x14ac:dyDescent="0.2">
      <c r="A1522" t="s">
        <v>340</v>
      </c>
      <c r="B1522" t="s">
        <v>346</v>
      </c>
      <c r="C1522" t="s">
        <v>109</v>
      </c>
      <c r="D1522" t="s">
        <v>384</v>
      </c>
      <c r="E1522">
        <v>1877</v>
      </c>
      <c r="F1522">
        <v>612</v>
      </c>
      <c r="G1522">
        <v>117.15</v>
      </c>
      <c r="H1522">
        <v>426</v>
      </c>
      <c r="I1522">
        <v>5134</v>
      </c>
      <c r="J1522">
        <v>132.34</v>
      </c>
      <c r="K1522">
        <v>115.72</v>
      </c>
      <c r="L1522">
        <v>52</v>
      </c>
      <c r="M1522">
        <v>1315</v>
      </c>
      <c r="N1522">
        <v>411</v>
      </c>
      <c r="O1522">
        <v>71</v>
      </c>
      <c r="P1522">
        <v>28</v>
      </c>
    </row>
    <row r="1523" spans="1:16" x14ac:dyDescent="0.2">
      <c r="A1523" t="s">
        <v>340</v>
      </c>
      <c r="B1523" t="s">
        <v>346</v>
      </c>
      <c r="C1523" t="s">
        <v>111</v>
      </c>
      <c r="D1523" t="s">
        <v>384</v>
      </c>
      <c r="E1523">
        <v>3542</v>
      </c>
      <c r="F1523">
        <v>1106</v>
      </c>
      <c r="G1523">
        <v>117.29</v>
      </c>
      <c r="H1523">
        <v>620</v>
      </c>
      <c r="I1523">
        <v>6858</v>
      </c>
      <c r="J1523">
        <v>132.84</v>
      </c>
      <c r="K1523">
        <v>125.3</v>
      </c>
      <c r="L1523">
        <v>105</v>
      </c>
      <c r="M1523">
        <v>2580</v>
      </c>
      <c r="N1523">
        <v>701</v>
      </c>
      <c r="O1523">
        <v>124</v>
      </c>
      <c r="P1523">
        <v>32</v>
      </c>
    </row>
    <row r="1524" spans="1:16" x14ac:dyDescent="0.2">
      <c r="A1524" t="s">
        <v>340</v>
      </c>
      <c r="B1524" t="s">
        <v>346</v>
      </c>
      <c r="C1524" t="s">
        <v>116</v>
      </c>
      <c r="D1524" t="s">
        <v>384</v>
      </c>
      <c r="E1524">
        <v>4738</v>
      </c>
      <c r="F1524">
        <v>1173</v>
      </c>
      <c r="G1524">
        <v>101.85</v>
      </c>
      <c r="H1524">
        <v>667</v>
      </c>
      <c r="I1524">
        <v>7091</v>
      </c>
      <c r="J1524">
        <v>139.74</v>
      </c>
      <c r="K1524">
        <v>128.69999999999999</v>
      </c>
      <c r="L1524">
        <v>218</v>
      </c>
      <c r="M1524">
        <v>3106</v>
      </c>
      <c r="N1524">
        <v>1179</v>
      </c>
      <c r="O1524">
        <v>195</v>
      </c>
      <c r="P1524">
        <v>40</v>
      </c>
    </row>
    <row r="1525" spans="1:16" x14ac:dyDescent="0.2">
      <c r="A1525" t="s">
        <v>340</v>
      </c>
      <c r="B1525" t="s">
        <v>346</v>
      </c>
      <c r="C1525" t="s">
        <v>118</v>
      </c>
      <c r="D1525" t="s">
        <v>384</v>
      </c>
      <c r="E1525">
        <v>18178</v>
      </c>
      <c r="F1525">
        <v>3706</v>
      </c>
      <c r="G1525">
        <v>89.98</v>
      </c>
      <c r="H1525">
        <v>2035</v>
      </c>
      <c r="I1525">
        <v>22460</v>
      </c>
      <c r="J1525">
        <v>127.44</v>
      </c>
      <c r="K1525">
        <v>118.78</v>
      </c>
      <c r="L1525">
        <v>823</v>
      </c>
      <c r="M1525">
        <v>11744</v>
      </c>
      <c r="N1525">
        <v>4845</v>
      </c>
      <c r="O1525">
        <v>633</v>
      </c>
      <c r="P1525">
        <v>133</v>
      </c>
    </row>
    <row r="1526" spans="1:16" x14ac:dyDescent="0.2">
      <c r="A1526" t="s">
        <v>340</v>
      </c>
      <c r="B1526" t="s">
        <v>346</v>
      </c>
      <c r="C1526" t="s">
        <v>120</v>
      </c>
      <c r="D1526" t="s">
        <v>384</v>
      </c>
      <c r="E1526">
        <v>16027</v>
      </c>
      <c r="F1526">
        <v>3748</v>
      </c>
      <c r="G1526">
        <v>96.66</v>
      </c>
      <c r="H1526">
        <v>2322</v>
      </c>
      <c r="I1526">
        <v>26292</v>
      </c>
      <c r="J1526">
        <v>128.38999999999999</v>
      </c>
      <c r="K1526">
        <v>117.08</v>
      </c>
      <c r="L1526">
        <v>711</v>
      </c>
      <c r="M1526">
        <v>10537</v>
      </c>
      <c r="N1526">
        <v>3975</v>
      </c>
      <c r="O1526">
        <v>644</v>
      </c>
      <c r="P1526">
        <v>160</v>
      </c>
    </row>
    <row r="1527" spans="1:16" x14ac:dyDescent="0.2">
      <c r="A1527" t="s">
        <v>340</v>
      </c>
      <c r="B1527" t="s">
        <v>346</v>
      </c>
      <c r="C1527" t="s">
        <v>80</v>
      </c>
      <c r="D1527" t="s">
        <v>384</v>
      </c>
      <c r="E1527">
        <v>9058</v>
      </c>
      <c r="F1527">
        <v>1804</v>
      </c>
      <c r="G1527">
        <v>89.59</v>
      </c>
      <c r="H1527">
        <v>1280</v>
      </c>
      <c r="I1527">
        <v>13555</v>
      </c>
      <c r="J1527">
        <v>127.26</v>
      </c>
      <c r="K1527">
        <v>110.81</v>
      </c>
      <c r="L1527">
        <v>441</v>
      </c>
      <c r="M1527">
        <v>5979</v>
      </c>
      <c r="N1527">
        <v>2231</v>
      </c>
      <c r="O1527">
        <v>329</v>
      </c>
      <c r="P1527">
        <v>78</v>
      </c>
    </row>
    <row r="1528" spans="1:16" x14ac:dyDescent="0.2">
      <c r="A1528" t="s">
        <v>340</v>
      </c>
      <c r="B1528" t="s">
        <v>346</v>
      </c>
      <c r="C1528" t="s">
        <v>122</v>
      </c>
      <c r="D1528" t="s">
        <v>384</v>
      </c>
      <c r="E1528">
        <v>4352</v>
      </c>
      <c r="F1528">
        <v>1077</v>
      </c>
      <c r="G1528">
        <v>105.4</v>
      </c>
      <c r="H1528">
        <v>720</v>
      </c>
      <c r="I1528">
        <v>7799</v>
      </c>
      <c r="J1528">
        <v>129.87</v>
      </c>
      <c r="K1528">
        <v>114.86</v>
      </c>
      <c r="L1528">
        <v>165</v>
      </c>
      <c r="M1528">
        <v>2823</v>
      </c>
      <c r="N1528">
        <v>1104</v>
      </c>
      <c r="O1528">
        <v>212</v>
      </c>
      <c r="P1528">
        <v>48</v>
      </c>
    </row>
    <row r="1529" spans="1:16" x14ac:dyDescent="0.2">
      <c r="A1529" t="s">
        <v>340</v>
      </c>
      <c r="B1529" t="s">
        <v>346</v>
      </c>
      <c r="C1529" t="s">
        <v>125</v>
      </c>
      <c r="D1529" t="s">
        <v>384</v>
      </c>
      <c r="E1529">
        <v>12262</v>
      </c>
      <c r="F1529">
        <v>2362</v>
      </c>
      <c r="G1529">
        <v>88.61</v>
      </c>
      <c r="H1529">
        <v>1567</v>
      </c>
      <c r="I1529">
        <v>16989</v>
      </c>
      <c r="J1529">
        <v>124.58</v>
      </c>
      <c r="K1529">
        <v>114.35</v>
      </c>
      <c r="L1529">
        <v>683</v>
      </c>
      <c r="M1529">
        <v>8346</v>
      </c>
      <c r="N1529">
        <v>2693</v>
      </c>
      <c r="O1529">
        <v>433</v>
      </c>
      <c r="P1529">
        <v>107</v>
      </c>
    </row>
    <row r="1530" spans="1:16" x14ac:dyDescent="0.2">
      <c r="A1530" t="s">
        <v>340</v>
      </c>
      <c r="B1530" t="s">
        <v>346</v>
      </c>
      <c r="C1530" t="s">
        <v>127</v>
      </c>
      <c r="D1530" t="s">
        <v>384</v>
      </c>
      <c r="E1530">
        <v>4265</v>
      </c>
      <c r="F1530">
        <v>1058</v>
      </c>
      <c r="G1530">
        <v>105.53</v>
      </c>
      <c r="H1530">
        <v>619</v>
      </c>
      <c r="I1530">
        <v>7098</v>
      </c>
      <c r="J1530">
        <v>130.72999999999999</v>
      </c>
      <c r="K1530">
        <v>108.72</v>
      </c>
      <c r="L1530">
        <v>218</v>
      </c>
      <c r="M1530">
        <v>2873</v>
      </c>
      <c r="N1530">
        <v>966</v>
      </c>
      <c r="O1530">
        <v>170</v>
      </c>
      <c r="P1530">
        <v>38</v>
      </c>
    </row>
    <row r="1531" spans="1:16" x14ac:dyDescent="0.2">
      <c r="A1531" t="s">
        <v>340</v>
      </c>
      <c r="B1531" t="s">
        <v>346</v>
      </c>
      <c r="C1531" t="s">
        <v>128</v>
      </c>
      <c r="D1531" t="s">
        <v>384</v>
      </c>
      <c r="E1531">
        <v>6036</v>
      </c>
      <c r="F1531">
        <v>1730</v>
      </c>
      <c r="G1531">
        <v>109.24</v>
      </c>
      <c r="H1531">
        <v>914</v>
      </c>
      <c r="I1531">
        <v>9779</v>
      </c>
      <c r="J1531">
        <v>141.37</v>
      </c>
      <c r="K1531">
        <v>122.29</v>
      </c>
      <c r="L1531">
        <v>347</v>
      </c>
      <c r="M1531">
        <v>3962</v>
      </c>
      <c r="N1531">
        <v>1387</v>
      </c>
      <c r="O1531">
        <v>274</v>
      </c>
      <c r="P1531">
        <v>66</v>
      </c>
    </row>
    <row r="1532" spans="1:16" x14ac:dyDescent="0.2">
      <c r="A1532" t="s">
        <v>340</v>
      </c>
      <c r="B1532" t="s">
        <v>346</v>
      </c>
      <c r="C1532" t="s">
        <v>129</v>
      </c>
      <c r="D1532" t="s">
        <v>384</v>
      </c>
      <c r="E1532">
        <v>6568</v>
      </c>
      <c r="F1532">
        <v>1511</v>
      </c>
      <c r="G1532">
        <v>101.83</v>
      </c>
      <c r="H1532">
        <v>1047</v>
      </c>
      <c r="I1532">
        <v>11601</v>
      </c>
      <c r="J1532">
        <v>126.68</v>
      </c>
      <c r="K1532">
        <v>112.29</v>
      </c>
      <c r="L1532">
        <v>243</v>
      </c>
      <c r="M1532">
        <v>4413</v>
      </c>
      <c r="N1532">
        <v>1612</v>
      </c>
      <c r="O1532">
        <v>239</v>
      </c>
      <c r="P1532">
        <v>61</v>
      </c>
    </row>
    <row r="1533" spans="1:16" x14ac:dyDescent="0.2">
      <c r="A1533" t="s">
        <v>340</v>
      </c>
      <c r="B1533" t="s">
        <v>346</v>
      </c>
      <c r="C1533" t="s">
        <v>130</v>
      </c>
      <c r="D1533" t="s">
        <v>384</v>
      </c>
      <c r="E1533">
        <v>10305</v>
      </c>
      <c r="F1533">
        <v>2009</v>
      </c>
      <c r="G1533">
        <v>89.2</v>
      </c>
      <c r="H1533">
        <v>1330</v>
      </c>
      <c r="I1533">
        <v>13976</v>
      </c>
      <c r="J1533">
        <v>118.44</v>
      </c>
      <c r="K1533">
        <v>101.9</v>
      </c>
      <c r="L1533">
        <v>683</v>
      </c>
      <c r="M1533">
        <v>6856</v>
      </c>
      <c r="N1533">
        <v>2120</v>
      </c>
      <c r="O1533">
        <v>561</v>
      </c>
      <c r="P1533">
        <v>85</v>
      </c>
    </row>
    <row r="1534" spans="1:16" x14ac:dyDescent="0.2">
      <c r="A1534" t="s">
        <v>340</v>
      </c>
      <c r="B1534" t="s">
        <v>346</v>
      </c>
      <c r="C1534" t="s">
        <v>133</v>
      </c>
      <c r="D1534" t="s">
        <v>384</v>
      </c>
      <c r="E1534">
        <v>3453</v>
      </c>
      <c r="F1534">
        <v>553</v>
      </c>
      <c r="G1534">
        <v>83.63</v>
      </c>
      <c r="H1534">
        <v>408</v>
      </c>
      <c r="I1534">
        <v>4624</v>
      </c>
      <c r="J1534">
        <v>113.29</v>
      </c>
      <c r="K1534">
        <v>107.2</v>
      </c>
      <c r="L1534">
        <v>158</v>
      </c>
      <c r="M1534">
        <v>2192</v>
      </c>
      <c r="N1534">
        <v>957</v>
      </c>
      <c r="O1534">
        <v>121</v>
      </c>
      <c r="P1534">
        <v>25</v>
      </c>
    </row>
    <row r="1535" spans="1:16" x14ac:dyDescent="0.2">
      <c r="A1535" t="s">
        <v>340</v>
      </c>
      <c r="B1535" t="s">
        <v>346</v>
      </c>
      <c r="C1535" t="s">
        <v>138</v>
      </c>
      <c r="D1535" t="s">
        <v>384</v>
      </c>
      <c r="E1535">
        <v>7809</v>
      </c>
      <c r="F1535">
        <v>2413</v>
      </c>
      <c r="G1535">
        <v>113.74</v>
      </c>
      <c r="H1535">
        <v>1207</v>
      </c>
      <c r="I1535">
        <v>15140</v>
      </c>
      <c r="J1535">
        <v>138.22</v>
      </c>
      <c r="K1535">
        <v>119.91</v>
      </c>
      <c r="L1535">
        <v>443</v>
      </c>
      <c r="M1535">
        <v>5602</v>
      </c>
      <c r="N1535">
        <v>1356</v>
      </c>
      <c r="O1535">
        <v>335</v>
      </c>
      <c r="P1535">
        <v>73</v>
      </c>
    </row>
    <row r="1536" spans="1:16" x14ac:dyDescent="0.2">
      <c r="A1536" t="s">
        <v>340</v>
      </c>
      <c r="B1536" t="s">
        <v>346</v>
      </c>
      <c r="C1536" t="s">
        <v>139</v>
      </c>
      <c r="D1536" t="s">
        <v>384</v>
      </c>
      <c r="E1536">
        <v>7121</v>
      </c>
      <c r="F1536">
        <v>2023</v>
      </c>
      <c r="G1536">
        <v>115.57</v>
      </c>
      <c r="H1536">
        <v>953</v>
      </c>
      <c r="I1536">
        <v>11561</v>
      </c>
      <c r="J1536">
        <v>140.63</v>
      </c>
      <c r="K1536">
        <v>131.16</v>
      </c>
      <c r="L1536">
        <v>258</v>
      </c>
      <c r="M1536">
        <v>5022</v>
      </c>
      <c r="N1536">
        <v>1505</v>
      </c>
      <c r="O1536">
        <v>278</v>
      </c>
      <c r="P1536">
        <v>58</v>
      </c>
    </row>
    <row r="1537" spans="1:16" x14ac:dyDescent="0.2">
      <c r="A1537" t="s">
        <v>340</v>
      </c>
      <c r="B1537" t="s">
        <v>346</v>
      </c>
      <c r="C1537" t="s">
        <v>141</v>
      </c>
      <c r="D1537" t="s">
        <v>384</v>
      </c>
      <c r="E1537">
        <v>10481</v>
      </c>
      <c r="F1537">
        <v>2009</v>
      </c>
      <c r="G1537">
        <v>85.43</v>
      </c>
      <c r="H1537">
        <v>1823</v>
      </c>
      <c r="I1537">
        <v>23893</v>
      </c>
      <c r="J1537">
        <v>99.01</v>
      </c>
      <c r="K1537">
        <v>77.98</v>
      </c>
      <c r="L1537">
        <v>585</v>
      </c>
      <c r="M1537">
        <v>5692</v>
      </c>
      <c r="N1537">
        <v>3769</v>
      </c>
      <c r="O1537">
        <v>367</v>
      </c>
      <c r="P1537">
        <v>68</v>
      </c>
    </row>
    <row r="1538" spans="1:16" x14ac:dyDescent="0.2">
      <c r="A1538" t="s">
        <v>340</v>
      </c>
      <c r="B1538" t="s">
        <v>346</v>
      </c>
      <c r="C1538" t="s">
        <v>142</v>
      </c>
      <c r="D1538" t="s">
        <v>384</v>
      </c>
      <c r="E1538">
        <v>1708</v>
      </c>
      <c r="F1538">
        <v>403</v>
      </c>
      <c r="G1538">
        <v>97.37</v>
      </c>
      <c r="H1538">
        <v>297</v>
      </c>
      <c r="I1538">
        <v>2512</v>
      </c>
      <c r="J1538">
        <v>132.85</v>
      </c>
      <c r="K1538">
        <v>127.06</v>
      </c>
      <c r="L1538">
        <v>71</v>
      </c>
      <c r="M1538">
        <v>1182</v>
      </c>
      <c r="N1538">
        <v>374</v>
      </c>
      <c r="O1538">
        <v>63</v>
      </c>
      <c r="P1538">
        <v>17</v>
      </c>
    </row>
    <row r="1539" spans="1:16" x14ac:dyDescent="0.2">
      <c r="A1539" t="s">
        <v>340</v>
      </c>
      <c r="B1539" t="s">
        <v>346</v>
      </c>
      <c r="C1539" t="s">
        <v>150</v>
      </c>
      <c r="D1539" t="s">
        <v>384</v>
      </c>
      <c r="E1539">
        <v>16262</v>
      </c>
      <c r="F1539">
        <v>3547</v>
      </c>
      <c r="G1539">
        <v>92.39</v>
      </c>
      <c r="H1539">
        <v>2159</v>
      </c>
      <c r="I1539">
        <v>25471</v>
      </c>
      <c r="J1539">
        <v>128.63</v>
      </c>
      <c r="K1539">
        <v>114.83</v>
      </c>
      <c r="L1539">
        <v>842</v>
      </c>
      <c r="M1539">
        <v>10520</v>
      </c>
      <c r="N1539">
        <v>4201</v>
      </c>
      <c r="O1539">
        <v>564</v>
      </c>
      <c r="P1539">
        <v>135</v>
      </c>
    </row>
    <row r="1540" spans="1:16" x14ac:dyDescent="0.2">
      <c r="A1540" t="s">
        <v>340</v>
      </c>
      <c r="B1540" t="s">
        <v>346</v>
      </c>
      <c r="C1540" t="s">
        <v>152</v>
      </c>
      <c r="D1540" t="s">
        <v>384</v>
      </c>
      <c r="E1540">
        <v>13459</v>
      </c>
      <c r="F1540">
        <v>2736</v>
      </c>
      <c r="G1540">
        <v>89.75</v>
      </c>
      <c r="H1540">
        <v>1674</v>
      </c>
      <c r="I1540">
        <v>20282</v>
      </c>
      <c r="J1540">
        <v>126.57</v>
      </c>
      <c r="K1540">
        <v>113.43</v>
      </c>
      <c r="L1540">
        <v>586</v>
      </c>
      <c r="M1540">
        <v>8592</v>
      </c>
      <c r="N1540">
        <v>3685</v>
      </c>
      <c r="O1540">
        <v>492</v>
      </c>
      <c r="P1540">
        <v>104</v>
      </c>
    </row>
    <row r="1541" spans="1:16" x14ac:dyDescent="0.2">
      <c r="A1541" t="s">
        <v>340</v>
      </c>
      <c r="B1541" t="s">
        <v>346</v>
      </c>
      <c r="C1541" t="s">
        <v>153</v>
      </c>
      <c r="D1541" t="s">
        <v>384</v>
      </c>
      <c r="E1541">
        <v>1401</v>
      </c>
      <c r="F1541">
        <v>296</v>
      </c>
      <c r="G1541">
        <v>95.65</v>
      </c>
      <c r="H1541">
        <v>198</v>
      </c>
      <c r="I1541">
        <v>2342</v>
      </c>
      <c r="J1541">
        <v>124.77</v>
      </c>
      <c r="K1541">
        <v>117.36</v>
      </c>
      <c r="L1541">
        <v>74</v>
      </c>
      <c r="M1541">
        <v>873</v>
      </c>
      <c r="N1541">
        <v>375</v>
      </c>
      <c r="O1541">
        <v>60</v>
      </c>
      <c r="P1541">
        <v>19</v>
      </c>
    </row>
    <row r="1542" spans="1:16" x14ac:dyDescent="0.2">
      <c r="A1542" t="s">
        <v>340</v>
      </c>
      <c r="B1542" t="s">
        <v>346</v>
      </c>
      <c r="C1542" t="s">
        <v>155</v>
      </c>
      <c r="D1542" t="s">
        <v>384</v>
      </c>
      <c r="E1542">
        <v>1272</v>
      </c>
      <c r="F1542">
        <v>299</v>
      </c>
      <c r="G1542">
        <v>109</v>
      </c>
      <c r="H1542">
        <v>208</v>
      </c>
      <c r="I1542">
        <v>2124</v>
      </c>
      <c r="J1542">
        <v>124.9</v>
      </c>
      <c r="K1542">
        <v>117.6</v>
      </c>
      <c r="L1542">
        <v>48</v>
      </c>
      <c r="M1542">
        <v>892</v>
      </c>
      <c r="N1542">
        <v>266</v>
      </c>
      <c r="O1542">
        <v>52</v>
      </c>
      <c r="P1542">
        <v>14</v>
      </c>
    </row>
    <row r="1543" spans="1:16" x14ac:dyDescent="0.2">
      <c r="A1543" t="s">
        <v>340</v>
      </c>
      <c r="B1543" t="s">
        <v>346</v>
      </c>
      <c r="C1543" t="s">
        <v>157</v>
      </c>
      <c r="D1543" t="s">
        <v>384</v>
      </c>
      <c r="E1543">
        <v>1872</v>
      </c>
      <c r="F1543">
        <v>584</v>
      </c>
      <c r="G1543">
        <v>112.63</v>
      </c>
      <c r="H1543">
        <v>313</v>
      </c>
      <c r="I1543">
        <v>4181</v>
      </c>
      <c r="J1543">
        <v>129.66</v>
      </c>
      <c r="K1543">
        <v>114.44</v>
      </c>
      <c r="L1543">
        <v>72</v>
      </c>
      <c r="M1543">
        <v>1277</v>
      </c>
      <c r="N1543">
        <v>439</v>
      </c>
      <c r="O1543">
        <v>68</v>
      </c>
      <c r="P1543">
        <v>16</v>
      </c>
    </row>
    <row r="1544" spans="1:16" x14ac:dyDescent="0.2">
      <c r="A1544" t="s">
        <v>340</v>
      </c>
      <c r="B1544" t="s">
        <v>346</v>
      </c>
      <c r="C1544" t="s">
        <v>160</v>
      </c>
      <c r="D1544" t="s">
        <v>384</v>
      </c>
      <c r="E1544">
        <v>1039</v>
      </c>
      <c r="F1544">
        <v>256</v>
      </c>
      <c r="G1544">
        <v>105.9</v>
      </c>
      <c r="H1544">
        <v>156</v>
      </c>
      <c r="I1544">
        <v>1460</v>
      </c>
      <c r="J1544">
        <v>158.55000000000001</v>
      </c>
      <c r="K1544">
        <v>136.05000000000001</v>
      </c>
      <c r="L1544">
        <v>86</v>
      </c>
      <c r="M1544">
        <v>686</v>
      </c>
      <c r="N1544">
        <v>213</v>
      </c>
      <c r="O1544">
        <v>44</v>
      </c>
      <c r="P1544">
        <v>10</v>
      </c>
    </row>
    <row r="1545" spans="1:16" x14ac:dyDescent="0.2">
      <c r="A1545" t="s">
        <v>340</v>
      </c>
      <c r="B1545" t="s">
        <v>347</v>
      </c>
      <c r="C1545" t="s">
        <v>649</v>
      </c>
      <c r="D1545" t="s">
        <v>384</v>
      </c>
      <c r="E1545">
        <v>23557</v>
      </c>
      <c r="F1545">
        <v>5443</v>
      </c>
      <c r="G1545">
        <v>91.53</v>
      </c>
      <c r="H1545">
        <v>2968</v>
      </c>
      <c r="I1545">
        <v>35440</v>
      </c>
      <c r="J1545">
        <v>119.42</v>
      </c>
      <c r="K1545">
        <v>93.73</v>
      </c>
      <c r="L1545">
        <v>7204</v>
      </c>
      <c r="M1545">
        <v>10662</v>
      </c>
      <c r="N1545">
        <v>148</v>
      </c>
      <c r="O1545">
        <v>5127</v>
      </c>
      <c r="P1545">
        <v>416</v>
      </c>
    </row>
    <row r="1546" spans="1:16" x14ac:dyDescent="0.2">
      <c r="A1546" t="s">
        <v>340</v>
      </c>
      <c r="B1546" t="s">
        <v>348</v>
      </c>
      <c r="C1546" t="s">
        <v>649</v>
      </c>
      <c r="D1546" t="s">
        <v>384</v>
      </c>
      <c r="E1546">
        <v>525</v>
      </c>
      <c r="F1546">
        <v>129</v>
      </c>
      <c r="G1546">
        <v>106.7</v>
      </c>
      <c r="H1546">
        <v>81</v>
      </c>
      <c r="I1546">
        <v>1128</v>
      </c>
      <c r="J1546">
        <v>139.09</v>
      </c>
      <c r="K1546">
        <v>100.92</v>
      </c>
      <c r="L1546">
        <v>50</v>
      </c>
      <c r="M1546">
        <v>334</v>
      </c>
      <c r="N1546">
        <v>118</v>
      </c>
      <c r="O1546">
        <v>19</v>
      </c>
      <c r="P1546">
        <v>4</v>
      </c>
    </row>
    <row r="1547" spans="1:16" x14ac:dyDescent="0.2">
      <c r="A1547" t="s">
        <v>340</v>
      </c>
      <c r="B1547" t="s">
        <v>346</v>
      </c>
      <c r="C1547" t="s">
        <v>110</v>
      </c>
      <c r="D1547" t="s">
        <v>384</v>
      </c>
      <c r="E1547">
        <v>2219</v>
      </c>
      <c r="F1547">
        <v>517</v>
      </c>
      <c r="G1547">
        <v>96.22</v>
      </c>
      <c r="H1547">
        <v>929</v>
      </c>
      <c r="I1547">
        <v>10230</v>
      </c>
      <c r="J1547">
        <v>67.73</v>
      </c>
      <c r="K1547">
        <v>72.08</v>
      </c>
      <c r="L1547">
        <v>70</v>
      </c>
      <c r="M1547">
        <v>1237</v>
      </c>
      <c r="N1547">
        <v>675</v>
      </c>
      <c r="O1547">
        <v>137</v>
      </c>
      <c r="P1547">
        <v>100</v>
      </c>
    </row>
    <row r="1548" spans="1:16" x14ac:dyDescent="0.2">
      <c r="A1548" t="s">
        <v>340</v>
      </c>
      <c r="B1548" t="s">
        <v>346</v>
      </c>
      <c r="C1548" t="s">
        <v>113</v>
      </c>
      <c r="D1548" t="s">
        <v>384</v>
      </c>
      <c r="E1548">
        <v>1039</v>
      </c>
      <c r="F1548">
        <v>165</v>
      </c>
      <c r="G1548">
        <v>82.21</v>
      </c>
      <c r="H1548">
        <v>157</v>
      </c>
      <c r="I1548">
        <v>1617</v>
      </c>
      <c r="J1548">
        <v>119.12</v>
      </c>
      <c r="K1548">
        <v>111.18</v>
      </c>
      <c r="L1548">
        <v>50</v>
      </c>
      <c r="M1548">
        <v>677</v>
      </c>
      <c r="N1548">
        <v>254</v>
      </c>
      <c r="O1548">
        <v>50</v>
      </c>
      <c r="P1548">
        <v>8</v>
      </c>
    </row>
    <row r="1549" spans="1:16" x14ac:dyDescent="0.2">
      <c r="A1549" t="s">
        <v>340</v>
      </c>
      <c r="B1549" t="s">
        <v>346</v>
      </c>
      <c r="C1549" t="s">
        <v>114</v>
      </c>
      <c r="D1549" t="s">
        <v>384</v>
      </c>
      <c r="E1549">
        <v>2441</v>
      </c>
      <c r="F1549">
        <v>624</v>
      </c>
      <c r="G1549">
        <v>104.1</v>
      </c>
      <c r="H1549">
        <v>365</v>
      </c>
      <c r="I1549">
        <v>3934</v>
      </c>
      <c r="J1549">
        <v>136.38999999999999</v>
      </c>
      <c r="K1549">
        <v>127.76</v>
      </c>
      <c r="L1549">
        <v>69</v>
      </c>
      <c r="M1549">
        <v>1656</v>
      </c>
      <c r="N1549">
        <v>616</v>
      </c>
      <c r="O1549">
        <v>83</v>
      </c>
      <c r="P1549">
        <v>17</v>
      </c>
    </row>
    <row r="1550" spans="1:16" x14ac:dyDescent="0.2">
      <c r="A1550" t="s">
        <v>340</v>
      </c>
      <c r="B1550" t="s">
        <v>346</v>
      </c>
      <c r="C1550" t="s">
        <v>115</v>
      </c>
      <c r="D1550" t="s">
        <v>384</v>
      </c>
      <c r="E1550">
        <v>4921</v>
      </c>
      <c r="F1550">
        <v>1213</v>
      </c>
      <c r="G1550">
        <v>99.9</v>
      </c>
      <c r="H1550">
        <v>648</v>
      </c>
      <c r="I1550">
        <v>7403</v>
      </c>
      <c r="J1550">
        <v>125.58</v>
      </c>
      <c r="K1550">
        <v>123.52</v>
      </c>
      <c r="L1550">
        <v>266</v>
      </c>
      <c r="M1550">
        <v>3363</v>
      </c>
      <c r="N1550">
        <v>1122</v>
      </c>
      <c r="O1550">
        <v>142</v>
      </c>
      <c r="P1550">
        <v>28</v>
      </c>
    </row>
    <row r="1551" spans="1:16" x14ac:dyDescent="0.2">
      <c r="A1551" t="s">
        <v>340</v>
      </c>
      <c r="B1551" t="s">
        <v>346</v>
      </c>
      <c r="C1551" t="s">
        <v>124</v>
      </c>
      <c r="D1551" t="s">
        <v>384</v>
      </c>
      <c r="E1551">
        <v>4910</v>
      </c>
      <c r="F1551">
        <v>1376</v>
      </c>
      <c r="G1551">
        <v>105.73</v>
      </c>
      <c r="H1551">
        <v>585</v>
      </c>
      <c r="I1551">
        <v>6567</v>
      </c>
      <c r="J1551">
        <v>137.07</v>
      </c>
      <c r="K1551">
        <v>134.46</v>
      </c>
      <c r="L1551">
        <v>197</v>
      </c>
      <c r="M1551">
        <v>3486</v>
      </c>
      <c r="N1551">
        <v>1020</v>
      </c>
      <c r="O1551">
        <v>175</v>
      </c>
      <c r="P1551">
        <v>32</v>
      </c>
    </row>
    <row r="1552" spans="1:16" x14ac:dyDescent="0.2">
      <c r="A1552" t="s">
        <v>340</v>
      </c>
      <c r="B1552" t="s">
        <v>346</v>
      </c>
      <c r="C1552" t="s">
        <v>126</v>
      </c>
      <c r="D1552" t="s">
        <v>384</v>
      </c>
      <c r="E1552">
        <v>5663</v>
      </c>
      <c r="F1552">
        <v>1254</v>
      </c>
      <c r="G1552">
        <v>94.18</v>
      </c>
      <c r="H1552">
        <v>824</v>
      </c>
      <c r="I1552">
        <v>8545</v>
      </c>
      <c r="J1552">
        <v>127.43</v>
      </c>
      <c r="K1552">
        <v>122.73</v>
      </c>
      <c r="L1552">
        <v>285</v>
      </c>
      <c r="M1552">
        <v>3959</v>
      </c>
      <c r="N1552">
        <v>1190</v>
      </c>
      <c r="O1552">
        <v>186</v>
      </c>
      <c r="P1552">
        <v>43</v>
      </c>
    </row>
    <row r="1553" spans="1:16" x14ac:dyDescent="0.2">
      <c r="A1553" t="s">
        <v>340</v>
      </c>
      <c r="B1553" t="s">
        <v>346</v>
      </c>
      <c r="C1553" t="s">
        <v>140</v>
      </c>
      <c r="D1553" t="s">
        <v>384</v>
      </c>
      <c r="E1553">
        <v>4950</v>
      </c>
      <c r="F1553">
        <v>1349</v>
      </c>
      <c r="G1553">
        <v>104.65</v>
      </c>
      <c r="H1553">
        <v>810</v>
      </c>
      <c r="I1553">
        <v>9160</v>
      </c>
      <c r="J1553">
        <v>135.86000000000001</v>
      </c>
      <c r="K1553">
        <v>119.71</v>
      </c>
      <c r="L1553">
        <v>155</v>
      </c>
      <c r="M1553">
        <v>3463</v>
      </c>
      <c r="N1553">
        <v>1083</v>
      </c>
      <c r="O1553">
        <v>196</v>
      </c>
      <c r="P1553">
        <v>53</v>
      </c>
    </row>
    <row r="1554" spans="1:16" x14ac:dyDescent="0.2">
      <c r="A1554" t="s">
        <v>340</v>
      </c>
      <c r="B1554" t="s">
        <v>346</v>
      </c>
      <c r="C1554" t="s">
        <v>143</v>
      </c>
      <c r="D1554" t="s">
        <v>384</v>
      </c>
      <c r="E1554">
        <v>5726</v>
      </c>
      <c r="F1554">
        <v>1015</v>
      </c>
      <c r="G1554">
        <v>85.78</v>
      </c>
      <c r="H1554">
        <v>712</v>
      </c>
      <c r="I1554">
        <v>7542</v>
      </c>
      <c r="J1554">
        <v>119.89</v>
      </c>
      <c r="K1554">
        <v>109.58</v>
      </c>
      <c r="L1554">
        <v>235</v>
      </c>
      <c r="M1554">
        <v>3817</v>
      </c>
      <c r="N1554">
        <v>1437</v>
      </c>
      <c r="O1554">
        <v>183</v>
      </c>
      <c r="P1554">
        <v>54</v>
      </c>
    </row>
    <row r="1555" spans="1:16" x14ac:dyDescent="0.2">
      <c r="A1555" t="s">
        <v>340</v>
      </c>
      <c r="B1555" t="s">
        <v>346</v>
      </c>
      <c r="C1555" t="s">
        <v>145</v>
      </c>
      <c r="D1555" t="s">
        <v>384</v>
      </c>
      <c r="E1555">
        <v>3395</v>
      </c>
      <c r="F1555">
        <v>795</v>
      </c>
      <c r="G1555">
        <v>97.94</v>
      </c>
      <c r="H1555">
        <v>524</v>
      </c>
      <c r="I1555">
        <v>6069</v>
      </c>
      <c r="J1555">
        <v>130.38</v>
      </c>
      <c r="K1555">
        <v>118.22</v>
      </c>
      <c r="L1555">
        <v>132</v>
      </c>
      <c r="M1555">
        <v>2228</v>
      </c>
      <c r="N1555">
        <v>883</v>
      </c>
      <c r="O1555">
        <v>121</v>
      </c>
      <c r="P1555">
        <v>31</v>
      </c>
    </row>
    <row r="1556" spans="1:16" x14ac:dyDescent="0.2">
      <c r="A1556" t="s">
        <v>340</v>
      </c>
      <c r="B1556" t="s">
        <v>346</v>
      </c>
      <c r="C1556" t="s">
        <v>147</v>
      </c>
      <c r="D1556" t="s">
        <v>384</v>
      </c>
      <c r="E1556">
        <v>2922</v>
      </c>
      <c r="F1556">
        <v>1062</v>
      </c>
      <c r="G1556">
        <v>128.06</v>
      </c>
      <c r="H1556">
        <v>443</v>
      </c>
      <c r="I1556">
        <v>4933</v>
      </c>
      <c r="J1556">
        <v>158.79</v>
      </c>
      <c r="K1556">
        <v>149.16</v>
      </c>
      <c r="L1556">
        <v>130</v>
      </c>
      <c r="M1556">
        <v>2114</v>
      </c>
      <c r="N1556">
        <v>542</v>
      </c>
      <c r="O1556">
        <v>104</v>
      </c>
      <c r="P1556">
        <v>32</v>
      </c>
    </row>
    <row r="1557" spans="1:16" x14ac:dyDescent="0.2">
      <c r="A1557" t="s">
        <v>340</v>
      </c>
      <c r="B1557" t="s">
        <v>346</v>
      </c>
      <c r="C1557" t="s">
        <v>149</v>
      </c>
      <c r="D1557" t="s">
        <v>384</v>
      </c>
      <c r="E1557">
        <v>401</v>
      </c>
      <c r="F1557">
        <v>125</v>
      </c>
      <c r="G1557">
        <v>128.49</v>
      </c>
      <c r="H1557">
        <v>71</v>
      </c>
      <c r="I1557">
        <v>1163</v>
      </c>
      <c r="J1557">
        <v>142.44999999999999</v>
      </c>
      <c r="K1557">
        <v>130.46</v>
      </c>
      <c r="L1557">
        <v>6</v>
      </c>
      <c r="M1557">
        <v>309</v>
      </c>
      <c r="N1557">
        <v>56</v>
      </c>
      <c r="O1557">
        <v>23</v>
      </c>
      <c r="P1557">
        <v>7</v>
      </c>
    </row>
    <row r="1558" spans="1:16" x14ac:dyDescent="0.2">
      <c r="A1558" t="s">
        <v>340</v>
      </c>
      <c r="B1558" t="s">
        <v>346</v>
      </c>
      <c r="C1558" t="s">
        <v>360</v>
      </c>
      <c r="D1558" t="s">
        <v>384</v>
      </c>
      <c r="E1558">
        <v>308</v>
      </c>
      <c r="F1558">
        <v>145</v>
      </c>
      <c r="G1558">
        <v>122.67</v>
      </c>
      <c r="H1558">
        <v>63</v>
      </c>
      <c r="I1558">
        <v>810</v>
      </c>
      <c r="J1558">
        <v>83.95</v>
      </c>
      <c r="K1558">
        <v>78.61</v>
      </c>
      <c r="L1558">
        <v>4</v>
      </c>
      <c r="M1558">
        <v>241</v>
      </c>
      <c r="N1558">
        <v>43</v>
      </c>
      <c r="O1558">
        <v>16</v>
      </c>
      <c r="P1558">
        <v>4</v>
      </c>
    </row>
    <row r="1559" spans="1:16" x14ac:dyDescent="0.2">
      <c r="A1559" t="s">
        <v>340</v>
      </c>
      <c r="B1559" t="s">
        <v>346</v>
      </c>
      <c r="C1559" t="s">
        <v>869</v>
      </c>
      <c r="D1559" t="s">
        <v>384</v>
      </c>
      <c r="I1559">
        <v>3</v>
      </c>
      <c r="K1559">
        <v>76</v>
      </c>
    </row>
    <row r="1560" spans="1:16" x14ac:dyDescent="0.2">
      <c r="A1560" t="s">
        <v>340</v>
      </c>
      <c r="B1560" t="s">
        <v>346</v>
      </c>
      <c r="C1560" t="s">
        <v>154</v>
      </c>
      <c r="D1560" t="s">
        <v>384</v>
      </c>
      <c r="E1560">
        <v>1118</v>
      </c>
      <c r="F1560">
        <v>173</v>
      </c>
      <c r="G1560">
        <v>83.7</v>
      </c>
      <c r="H1560">
        <v>159</v>
      </c>
      <c r="I1560">
        <v>1802</v>
      </c>
      <c r="J1560">
        <v>108.49</v>
      </c>
      <c r="K1560">
        <v>106.79</v>
      </c>
      <c r="L1560">
        <v>53</v>
      </c>
      <c r="M1560">
        <v>662</v>
      </c>
      <c r="N1560">
        <v>346</v>
      </c>
      <c r="O1560">
        <v>51</v>
      </c>
      <c r="P1560">
        <v>6</v>
      </c>
    </row>
    <row r="1561" spans="1:16" x14ac:dyDescent="0.2">
      <c r="A1561" t="s">
        <v>340</v>
      </c>
      <c r="B1561" t="s">
        <v>346</v>
      </c>
      <c r="C1561" t="s">
        <v>361</v>
      </c>
      <c r="D1561" t="s">
        <v>384</v>
      </c>
      <c r="E1561">
        <v>1152</v>
      </c>
      <c r="F1561">
        <v>211</v>
      </c>
      <c r="G1561">
        <v>81.84</v>
      </c>
      <c r="H1561">
        <v>131</v>
      </c>
      <c r="I1561">
        <v>1513</v>
      </c>
      <c r="J1561">
        <v>122.92</v>
      </c>
      <c r="K1561">
        <v>119.01</v>
      </c>
      <c r="L1561">
        <v>32</v>
      </c>
      <c r="M1561">
        <v>808</v>
      </c>
      <c r="N1561">
        <v>269</v>
      </c>
      <c r="O1561">
        <v>38</v>
      </c>
      <c r="P1561">
        <v>5</v>
      </c>
    </row>
    <row r="1562" spans="1:16" x14ac:dyDescent="0.2">
      <c r="A1562" t="s">
        <v>340</v>
      </c>
      <c r="B1562" t="s">
        <v>346</v>
      </c>
      <c r="C1562" t="s">
        <v>158</v>
      </c>
      <c r="D1562" t="s">
        <v>384</v>
      </c>
      <c r="E1562">
        <v>1895</v>
      </c>
      <c r="F1562">
        <v>449</v>
      </c>
      <c r="G1562">
        <v>98.93</v>
      </c>
      <c r="H1562">
        <v>270</v>
      </c>
      <c r="I1562">
        <v>3116</v>
      </c>
      <c r="J1562">
        <v>124.92</v>
      </c>
      <c r="K1562">
        <v>114.37</v>
      </c>
      <c r="L1562">
        <v>80</v>
      </c>
      <c r="M1562">
        <v>1317</v>
      </c>
      <c r="N1562">
        <v>433</v>
      </c>
      <c r="O1562">
        <v>55</v>
      </c>
      <c r="P1562">
        <v>10</v>
      </c>
    </row>
    <row r="1563" spans="1:16" x14ac:dyDescent="0.2">
      <c r="A1563" t="s">
        <v>340</v>
      </c>
      <c r="B1563" t="s">
        <v>348</v>
      </c>
      <c r="C1563" t="s">
        <v>384</v>
      </c>
      <c r="D1563" t="s">
        <v>384</v>
      </c>
      <c r="E1563">
        <v>495</v>
      </c>
      <c r="F1563">
        <v>120</v>
      </c>
      <c r="G1563">
        <v>104.25</v>
      </c>
      <c r="H1563">
        <v>77</v>
      </c>
      <c r="I1563">
        <v>1056</v>
      </c>
      <c r="J1563">
        <v>141.56</v>
      </c>
      <c r="K1563">
        <v>99.36</v>
      </c>
      <c r="L1563">
        <v>48</v>
      </c>
      <c r="M1563">
        <v>314</v>
      </c>
      <c r="N1563">
        <v>111</v>
      </c>
      <c r="O1563">
        <v>18</v>
      </c>
      <c r="P1563">
        <v>4</v>
      </c>
    </row>
    <row r="1564" spans="1:16" x14ac:dyDescent="0.2">
      <c r="A1564" t="s">
        <v>340</v>
      </c>
      <c r="B1564" t="s">
        <v>348</v>
      </c>
      <c r="C1564" t="s">
        <v>137</v>
      </c>
      <c r="D1564" t="s">
        <v>384</v>
      </c>
      <c r="E1564">
        <v>14</v>
      </c>
      <c r="F1564">
        <v>3</v>
      </c>
      <c r="G1564">
        <v>185.93</v>
      </c>
      <c r="H1564">
        <v>3</v>
      </c>
      <c r="I1564">
        <v>23</v>
      </c>
      <c r="J1564">
        <v>41.33</v>
      </c>
      <c r="K1564">
        <v>92.78</v>
      </c>
      <c r="M1564">
        <v>6</v>
      </c>
      <c r="N1564">
        <v>7</v>
      </c>
      <c r="O1564">
        <v>1</v>
      </c>
    </row>
    <row r="1565" spans="1:16" x14ac:dyDescent="0.2">
      <c r="A1565" t="s">
        <v>340</v>
      </c>
      <c r="B1565" t="s">
        <v>346</v>
      </c>
      <c r="C1565" t="s">
        <v>649</v>
      </c>
      <c r="D1565" t="s">
        <v>384</v>
      </c>
      <c r="E1565">
        <v>341487</v>
      </c>
      <c r="F1565">
        <v>76388</v>
      </c>
      <c r="G1565">
        <v>95.57</v>
      </c>
      <c r="H1565">
        <v>48028</v>
      </c>
      <c r="I1565">
        <v>535714</v>
      </c>
      <c r="J1565">
        <v>126.74</v>
      </c>
      <c r="K1565">
        <v>114.46</v>
      </c>
      <c r="L1565">
        <v>17278</v>
      </c>
      <c r="M1565">
        <v>223632</v>
      </c>
      <c r="N1565">
        <v>83280</v>
      </c>
      <c r="O1565">
        <v>14301</v>
      </c>
      <c r="P1565">
        <v>2994</v>
      </c>
    </row>
    <row r="1566" spans="1:16" x14ac:dyDescent="0.2">
      <c r="A1566" t="s">
        <v>340</v>
      </c>
      <c r="B1566" t="s">
        <v>346</v>
      </c>
      <c r="C1566" t="s">
        <v>384</v>
      </c>
      <c r="D1566" t="s">
        <v>384</v>
      </c>
      <c r="E1566">
        <v>7201</v>
      </c>
      <c r="F1566">
        <v>258</v>
      </c>
      <c r="G1566">
        <v>38.520000000000003</v>
      </c>
      <c r="H1566">
        <v>472</v>
      </c>
      <c r="I1566">
        <v>3819</v>
      </c>
      <c r="J1566">
        <v>49.92</v>
      </c>
      <c r="K1566">
        <v>67.94</v>
      </c>
      <c r="L1566">
        <v>141</v>
      </c>
      <c r="M1566">
        <v>3825</v>
      </c>
      <c r="N1566">
        <v>3136</v>
      </c>
      <c r="O1566">
        <v>86</v>
      </c>
      <c r="P1566">
        <v>13</v>
      </c>
    </row>
    <row r="1567" spans="1:16" x14ac:dyDescent="0.2">
      <c r="A1567" t="s">
        <v>340</v>
      </c>
      <c r="B1567" t="s">
        <v>346</v>
      </c>
      <c r="C1567" t="s">
        <v>117</v>
      </c>
      <c r="D1567" t="s">
        <v>384</v>
      </c>
      <c r="E1567">
        <v>2982</v>
      </c>
      <c r="F1567">
        <v>540</v>
      </c>
      <c r="G1567">
        <v>90.15</v>
      </c>
      <c r="H1567">
        <v>398</v>
      </c>
      <c r="I1567">
        <v>4168</v>
      </c>
      <c r="J1567">
        <v>125.73</v>
      </c>
      <c r="K1567">
        <v>120.82</v>
      </c>
      <c r="L1567">
        <v>207</v>
      </c>
      <c r="M1567">
        <v>1954</v>
      </c>
      <c r="N1567">
        <v>700</v>
      </c>
      <c r="O1567">
        <v>94</v>
      </c>
      <c r="P1567">
        <v>27</v>
      </c>
    </row>
    <row r="1568" spans="1:16" x14ac:dyDescent="0.2">
      <c r="A1568" t="s">
        <v>340</v>
      </c>
      <c r="B1568" t="s">
        <v>346</v>
      </c>
      <c r="C1568" t="s">
        <v>119</v>
      </c>
      <c r="D1568" t="s">
        <v>384</v>
      </c>
      <c r="E1568">
        <v>19364</v>
      </c>
      <c r="F1568">
        <v>4293</v>
      </c>
      <c r="G1568">
        <v>97.95</v>
      </c>
      <c r="H1568">
        <v>2704</v>
      </c>
      <c r="I1568">
        <v>29853</v>
      </c>
      <c r="J1568">
        <v>129.44</v>
      </c>
      <c r="K1568">
        <v>123.04</v>
      </c>
      <c r="L1568">
        <v>1178</v>
      </c>
      <c r="M1568">
        <v>13293</v>
      </c>
      <c r="N1568">
        <v>4071</v>
      </c>
      <c r="O1568">
        <v>664</v>
      </c>
      <c r="P1568">
        <v>158</v>
      </c>
    </row>
    <row r="1569" spans="1:16" x14ac:dyDescent="0.2">
      <c r="A1569" t="s">
        <v>340</v>
      </c>
      <c r="B1569" t="s">
        <v>346</v>
      </c>
      <c r="C1569" t="s">
        <v>121</v>
      </c>
      <c r="D1569" t="s">
        <v>384</v>
      </c>
      <c r="E1569">
        <v>9350</v>
      </c>
      <c r="F1569">
        <v>1855</v>
      </c>
      <c r="G1569">
        <v>91.96</v>
      </c>
      <c r="H1569">
        <v>1187</v>
      </c>
      <c r="I1569">
        <v>13131</v>
      </c>
      <c r="J1569">
        <v>126.51</v>
      </c>
      <c r="K1569">
        <v>114.36</v>
      </c>
      <c r="L1569">
        <v>497</v>
      </c>
      <c r="M1569">
        <v>6005</v>
      </c>
      <c r="N1569">
        <v>2439</v>
      </c>
      <c r="O1569">
        <v>339</v>
      </c>
      <c r="P1569">
        <v>70</v>
      </c>
    </row>
    <row r="1570" spans="1:16" x14ac:dyDescent="0.2">
      <c r="A1570" t="s">
        <v>340</v>
      </c>
      <c r="B1570" t="s">
        <v>346</v>
      </c>
      <c r="C1570" t="s">
        <v>123</v>
      </c>
      <c r="D1570" t="s">
        <v>384</v>
      </c>
      <c r="E1570">
        <v>6704</v>
      </c>
      <c r="F1570">
        <v>1406</v>
      </c>
      <c r="G1570">
        <v>94.18</v>
      </c>
      <c r="H1570">
        <v>884</v>
      </c>
      <c r="I1570">
        <v>9489</v>
      </c>
      <c r="J1570">
        <v>134.49</v>
      </c>
      <c r="K1570">
        <v>122.52</v>
      </c>
      <c r="L1570">
        <v>324</v>
      </c>
      <c r="M1570">
        <v>4340</v>
      </c>
      <c r="N1570">
        <v>1707</v>
      </c>
      <c r="O1570">
        <v>278</v>
      </c>
      <c r="P1570">
        <v>55</v>
      </c>
    </row>
    <row r="1571" spans="1:16" x14ac:dyDescent="0.2">
      <c r="A1571" t="s">
        <v>340</v>
      </c>
      <c r="B1571" t="s">
        <v>346</v>
      </c>
      <c r="C1571" t="s">
        <v>131</v>
      </c>
      <c r="D1571" t="s">
        <v>384</v>
      </c>
      <c r="E1571">
        <v>4880</v>
      </c>
      <c r="F1571">
        <v>1238</v>
      </c>
      <c r="G1571">
        <v>105.87</v>
      </c>
      <c r="H1571">
        <v>787</v>
      </c>
      <c r="I1571">
        <v>8644</v>
      </c>
      <c r="J1571">
        <v>127.22</v>
      </c>
      <c r="K1571">
        <v>114.21</v>
      </c>
      <c r="L1571">
        <v>187</v>
      </c>
      <c r="M1571">
        <v>3353</v>
      </c>
      <c r="N1571">
        <v>1088</v>
      </c>
      <c r="O1571">
        <v>202</v>
      </c>
      <c r="P1571">
        <v>50</v>
      </c>
    </row>
    <row r="1572" spans="1:16" x14ac:dyDescent="0.2">
      <c r="A1572" t="s">
        <v>340</v>
      </c>
      <c r="B1572" t="s">
        <v>346</v>
      </c>
      <c r="C1572" t="s">
        <v>132</v>
      </c>
      <c r="D1572" t="s">
        <v>384</v>
      </c>
      <c r="E1572">
        <v>1064</v>
      </c>
      <c r="F1572">
        <v>310</v>
      </c>
      <c r="G1572">
        <v>119.15</v>
      </c>
      <c r="H1572">
        <v>105</v>
      </c>
      <c r="I1572">
        <v>1942</v>
      </c>
      <c r="J1572">
        <v>150.63</v>
      </c>
      <c r="K1572">
        <v>152.16</v>
      </c>
      <c r="L1572">
        <v>91</v>
      </c>
      <c r="M1572">
        <v>681</v>
      </c>
      <c r="N1572">
        <v>259</v>
      </c>
      <c r="O1572">
        <v>24</v>
      </c>
      <c r="P1572">
        <v>9</v>
      </c>
    </row>
    <row r="1573" spans="1:16" x14ac:dyDescent="0.2">
      <c r="A1573" t="s">
        <v>340</v>
      </c>
      <c r="B1573" t="s">
        <v>346</v>
      </c>
      <c r="C1573" t="s">
        <v>134</v>
      </c>
      <c r="D1573" t="s">
        <v>384</v>
      </c>
      <c r="E1573">
        <v>9034</v>
      </c>
      <c r="F1573">
        <v>1969</v>
      </c>
      <c r="G1573">
        <v>94.49</v>
      </c>
      <c r="H1573">
        <v>1619</v>
      </c>
      <c r="I1573">
        <v>14774</v>
      </c>
      <c r="J1573">
        <v>116.89</v>
      </c>
      <c r="K1573">
        <v>111.05</v>
      </c>
      <c r="L1573">
        <v>590</v>
      </c>
      <c r="M1573">
        <v>5993</v>
      </c>
      <c r="N1573">
        <v>1678</v>
      </c>
      <c r="O1573">
        <v>675</v>
      </c>
      <c r="P1573">
        <v>98</v>
      </c>
    </row>
    <row r="1574" spans="1:16" x14ac:dyDescent="0.2">
      <c r="A1574" t="s">
        <v>340</v>
      </c>
      <c r="B1574" t="s">
        <v>346</v>
      </c>
      <c r="C1574" t="s">
        <v>136</v>
      </c>
      <c r="D1574" t="s">
        <v>384</v>
      </c>
      <c r="E1574">
        <v>2689</v>
      </c>
      <c r="F1574">
        <v>771</v>
      </c>
      <c r="G1574">
        <v>108.82</v>
      </c>
      <c r="H1574">
        <v>424</v>
      </c>
      <c r="I1574">
        <v>4061</v>
      </c>
      <c r="J1574">
        <v>138.16</v>
      </c>
      <c r="K1574">
        <v>128.22</v>
      </c>
      <c r="L1574">
        <v>111</v>
      </c>
      <c r="M1574">
        <v>1842</v>
      </c>
      <c r="N1574">
        <v>600</v>
      </c>
      <c r="O1574">
        <v>109</v>
      </c>
      <c r="P1574">
        <v>27</v>
      </c>
    </row>
    <row r="1575" spans="1:16" x14ac:dyDescent="0.2">
      <c r="A1575" t="s">
        <v>340</v>
      </c>
      <c r="B1575" t="s">
        <v>346</v>
      </c>
      <c r="C1575" t="s">
        <v>137</v>
      </c>
      <c r="D1575" t="s">
        <v>384</v>
      </c>
      <c r="E1575">
        <v>4067</v>
      </c>
      <c r="F1575">
        <v>768</v>
      </c>
      <c r="G1575">
        <v>87.55</v>
      </c>
      <c r="H1575">
        <v>505</v>
      </c>
      <c r="I1575">
        <v>5759</v>
      </c>
      <c r="J1575">
        <v>118.73</v>
      </c>
      <c r="K1575">
        <v>110.29</v>
      </c>
      <c r="L1575">
        <v>183</v>
      </c>
      <c r="M1575">
        <v>2589</v>
      </c>
      <c r="N1575">
        <v>1111</v>
      </c>
      <c r="O1575">
        <v>159</v>
      </c>
      <c r="P1575">
        <v>25</v>
      </c>
    </row>
    <row r="1576" spans="1:16" x14ac:dyDescent="0.2">
      <c r="A1576" t="s">
        <v>340</v>
      </c>
      <c r="B1576" t="s">
        <v>346</v>
      </c>
      <c r="C1576" t="s">
        <v>144</v>
      </c>
      <c r="D1576" t="s">
        <v>384</v>
      </c>
      <c r="E1576">
        <v>21367</v>
      </c>
      <c r="F1576">
        <v>3479</v>
      </c>
      <c r="G1576">
        <v>82.18</v>
      </c>
      <c r="H1576">
        <v>2491</v>
      </c>
      <c r="I1576">
        <v>27525</v>
      </c>
      <c r="J1576">
        <v>141.04</v>
      </c>
      <c r="K1576">
        <v>111.9</v>
      </c>
      <c r="L1576">
        <v>1192</v>
      </c>
      <c r="M1576">
        <v>13454</v>
      </c>
      <c r="N1576">
        <v>5864</v>
      </c>
      <c r="O1576">
        <v>703</v>
      </c>
      <c r="P1576">
        <v>154</v>
      </c>
    </row>
    <row r="1577" spans="1:16" x14ac:dyDescent="0.2">
      <c r="A1577" t="s">
        <v>340</v>
      </c>
      <c r="B1577" t="s">
        <v>346</v>
      </c>
      <c r="C1577" t="s">
        <v>146</v>
      </c>
      <c r="D1577" t="s">
        <v>384</v>
      </c>
      <c r="E1577">
        <v>8079</v>
      </c>
      <c r="F1577">
        <v>1688</v>
      </c>
      <c r="G1577">
        <v>95.29</v>
      </c>
      <c r="H1577">
        <v>1223</v>
      </c>
      <c r="I1577">
        <v>13387</v>
      </c>
      <c r="J1577">
        <v>120.86</v>
      </c>
      <c r="K1577">
        <v>109.95</v>
      </c>
      <c r="L1577">
        <v>373</v>
      </c>
      <c r="M1577">
        <v>5361</v>
      </c>
      <c r="N1577">
        <v>1948</v>
      </c>
      <c r="O1577">
        <v>324</v>
      </c>
      <c r="P1577">
        <v>72</v>
      </c>
    </row>
    <row r="1578" spans="1:16" x14ac:dyDescent="0.2">
      <c r="A1578" t="s">
        <v>340</v>
      </c>
      <c r="B1578" t="s">
        <v>346</v>
      </c>
      <c r="C1578" t="s">
        <v>148</v>
      </c>
      <c r="D1578" t="s">
        <v>384</v>
      </c>
      <c r="E1578">
        <v>3698</v>
      </c>
      <c r="F1578">
        <v>1340</v>
      </c>
      <c r="G1578">
        <v>120.67</v>
      </c>
      <c r="H1578">
        <v>466</v>
      </c>
      <c r="I1578">
        <v>5139</v>
      </c>
      <c r="J1578">
        <v>148.46</v>
      </c>
      <c r="K1578">
        <v>127.43</v>
      </c>
      <c r="L1578">
        <v>141</v>
      </c>
      <c r="M1578">
        <v>2510</v>
      </c>
      <c r="N1578">
        <v>875</v>
      </c>
      <c r="O1578">
        <v>148</v>
      </c>
      <c r="P1578">
        <v>24</v>
      </c>
    </row>
    <row r="1579" spans="1:16" x14ac:dyDescent="0.2">
      <c r="A1579" t="s">
        <v>340</v>
      </c>
      <c r="B1579" t="s">
        <v>346</v>
      </c>
      <c r="C1579" t="s">
        <v>151</v>
      </c>
      <c r="D1579" t="s">
        <v>384</v>
      </c>
      <c r="E1579">
        <v>768</v>
      </c>
      <c r="F1579">
        <v>251</v>
      </c>
      <c r="G1579">
        <v>117.01</v>
      </c>
      <c r="H1579">
        <v>169</v>
      </c>
      <c r="I1579">
        <v>1918</v>
      </c>
      <c r="J1579">
        <v>131.61000000000001</v>
      </c>
      <c r="K1579">
        <v>116.24</v>
      </c>
      <c r="L1579">
        <v>19</v>
      </c>
      <c r="M1579">
        <v>537</v>
      </c>
      <c r="N1579">
        <v>172</v>
      </c>
      <c r="O1579">
        <v>28</v>
      </c>
      <c r="P1579">
        <v>12</v>
      </c>
    </row>
    <row r="1580" spans="1:16" x14ac:dyDescent="0.2">
      <c r="A1580" t="s">
        <v>340</v>
      </c>
      <c r="B1580" t="s">
        <v>346</v>
      </c>
      <c r="C1580" t="s">
        <v>159</v>
      </c>
      <c r="D1580" t="s">
        <v>384</v>
      </c>
      <c r="E1580">
        <v>554</v>
      </c>
      <c r="F1580">
        <v>214</v>
      </c>
      <c r="G1580">
        <v>130.54</v>
      </c>
      <c r="H1580">
        <v>128</v>
      </c>
      <c r="I1580">
        <v>1339</v>
      </c>
      <c r="J1580">
        <v>149.24</v>
      </c>
      <c r="K1580">
        <v>128.05000000000001</v>
      </c>
      <c r="L1580">
        <v>12</v>
      </c>
      <c r="M1580">
        <v>380</v>
      </c>
      <c r="N1580">
        <v>127</v>
      </c>
      <c r="O1580">
        <v>26</v>
      </c>
      <c r="P1580">
        <v>9</v>
      </c>
    </row>
    <row r="1581" spans="1:16" x14ac:dyDescent="0.2">
      <c r="A1581" t="s">
        <v>340</v>
      </c>
      <c r="B1581" t="s">
        <v>347</v>
      </c>
      <c r="C1581" t="s">
        <v>384</v>
      </c>
      <c r="D1581" t="s">
        <v>384</v>
      </c>
      <c r="E1581">
        <v>930</v>
      </c>
      <c r="F1581">
        <v>200</v>
      </c>
      <c r="G1581">
        <v>100.5</v>
      </c>
      <c r="H1581">
        <v>217</v>
      </c>
      <c r="I1581">
        <v>2387</v>
      </c>
      <c r="J1581">
        <v>61.27</v>
      </c>
      <c r="K1581">
        <v>63.81</v>
      </c>
      <c r="L1581">
        <v>249</v>
      </c>
      <c r="M1581">
        <v>424</v>
      </c>
      <c r="N1581">
        <v>11</v>
      </c>
      <c r="O1581">
        <v>227</v>
      </c>
      <c r="P1581">
        <v>19</v>
      </c>
    </row>
    <row r="1582" spans="1:16" x14ac:dyDescent="0.2">
      <c r="A1582" t="s">
        <v>340</v>
      </c>
      <c r="B1582" t="s">
        <v>347</v>
      </c>
      <c r="C1582" t="s">
        <v>134</v>
      </c>
      <c r="D1582" t="s">
        <v>384</v>
      </c>
      <c r="E1582">
        <v>9411</v>
      </c>
      <c r="F1582">
        <v>2531</v>
      </c>
      <c r="G1582">
        <v>98.72</v>
      </c>
      <c r="H1582">
        <v>1244</v>
      </c>
      <c r="I1582">
        <v>13835</v>
      </c>
      <c r="J1582">
        <v>129.21</v>
      </c>
      <c r="K1582">
        <v>106.79</v>
      </c>
      <c r="L1582">
        <v>2386</v>
      </c>
      <c r="M1582">
        <v>4573</v>
      </c>
      <c r="N1582">
        <v>76</v>
      </c>
      <c r="O1582">
        <v>2187</v>
      </c>
      <c r="P1582">
        <v>189</v>
      </c>
    </row>
    <row r="1583" spans="1:16" x14ac:dyDescent="0.2">
      <c r="A1583" t="s">
        <v>340</v>
      </c>
      <c r="B1583" t="s">
        <v>349</v>
      </c>
      <c r="C1583" t="s">
        <v>384</v>
      </c>
      <c r="D1583" t="s">
        <v>384</v>
      </c>
      <c r="E1583">
        <v>10</v>
      </c>
      <c r="F1583">
        <v>4</v>
      </c>
      <c r="G1583">
        <v>197.9</v>
      </c>
      <c r="H1583">
        <v>3</v>
      </c>
      <c r="I1583">
        <v>40</v>
      </c>
      <c r="J1583">
        <v>1090.67</v>
      </c>
      <c r="K1583">
        <v>406.1</v>
      </c>
      <c r="M1583">
        <v>9</v>
      </c>
      <c r="N1583">
        <v>1</v>
      </c>
    </row>
    <row r="1584" spans="1:16" x14ac:dyDescent="0.2">
      <c r="A1584" t="s">
        <v>340</v>
      </c>
      <c r="B1584" t="s">
        <v>349</v>
      </c>
      <c r="C1584" t="s">
        <v>152</v>
      </c>
      <c r="D1584" t="s">
        <v>384</v>
      </c>
      <c r="E1584">
        <v>5</v>
      </c>
      <c r="F1584">
        <v>2</v>
      </c>
      <c r="G1584">
        <v>133</v>
      </c>
      <c r="H1584">
        <v>1</v>
      </c>
      <c r="I1584">
        <v>8</v>
      </c>
      <c r="J1584">
        <v>1</v>
      </c>
      <c r="K1584">
        <v>197.5</v>
      </c>
      <c r="M1584">
        <v>4</v>
      </c>
      <c r="N1584">
        <v>1</v>
      </c>
    </row>
    <row r="1585" spans="1:16" x14ac:dyDescent="0.2">
      <c r="A1585" t="s">
        <v>340</v>
      </c>
      <c r="B1585" t="s">
        <v>346</v>
      </c>
      <c r="C1585" t="s">
        <v>388</v>
      </c>
      <c r="D1585" t="s">
        <v>384</v>
      </c>
      <c r="E1585">
        <v>64267</v>
      </c>
      <c r="F1585">
        <v>15379</v>
      </c>
      <c r="G1585">
        <v>98.99</v>
      </c>
      <c r="H1585">
        <v>9345</v>
      </c>
      <c r="I1585">
        <v>110582</v>
      </c>
      <c r="J1585">
        <v>126.86</v>
      </c>
      <c r="K1585">
        <v>111.56</v>
      </c>
      <c r="L1585">
        <v>2929</v>
      </c>
      <c r="M1585">
        <v>42227</v>
      </c>
      <c r="N1585">
        <v>16164</v>
      </c>
      <c r="O1585">
        <v>2408</v>
      </c>
      <c r="P1585">
        <v>538</v>
      </c>
    </row>
    <row r="1586" spans="1:16" x14ac:dyDescent="0.2">
      <c r="A1586" t="s">
        <v>340</v>
      </c>
      <c r="B1586" t="s">
        <v>346</v>
      </c>
      <c r="C1586" t="s">
        <v>385</v>
      </c>
      <c r="D1586" t="s">
        <v>384</v>
      </c>
      <c r="E1586">
        <v>115766</v>
      </c>
      <c r="F1586">
        <v>25708</v>
      </c>
      <c r="G1586">
        <v>96.01</v>
      </c>
      <c r="H1586">
        <v>15292</v>
      </c>
      <c r="I1586">
        <v>168965</v>
      </c>
      <c r="J1586">
        <v>129.9</v>
      </c>
      <c r="K1586">
        <v>118.99</v>
      </c>
      <c r="L1586">
        <v>5756</v>
      </c>
      <c r="M1586">
        <v>76243</v>
      </c>
      <c r="N1586">
        <v>28552</v>
      </c>
      <c r="O1586">
        <v>4260</v>
      </c>
      <c r="P1586">
        <v>955</v>
      </c>
    </row>
    <row r="1587" spans="1:16" x14ac:dyDescent="0.2">
      <c r="A1587" t="s">
        <v>340</v>
      </c>
      <c r="B1587" t="s">
        <v>417</v>
      </c>
      <c r="C1587" t="s">
        <v>359</v>
      </c>
      <c r="D1587" t="s">
        <v>384</v>
      </c>
      <c r="E1587">
        <v>7555</v>
      </c>
      <c r="F1587">
        <v>276</v>
      </c>
      <c r="G1587">
        <v>39.49</v>
      </c>
      <c r="H1587">
        <v>497</v>
      </c>
      <c r="I1587">
        <v>3888</v>
      </c>
      <c r="J1587">
        <v>51.58</v>
      </c>
      <c r="K1587">
        <v>68.31</v>
      </c>
      <c r="L1587">
        <v>308</v>
      </c>
      <c r="M1587">
        <v>3912</v>
      </c>
      <c r="N1587">
        <v>3138</v>
      </c>
      <c r="O1587">
        <v>181</v>
      </c>
      <c r="P1587">
        <v>16</v>
      </c>
    </row>
    <row r="1588" spans="1:16" x14ac:dyDescent="0.2">
      <c r="A1588" t="s">
        <v>340</v>
      </c>
      <c r="B1588" t="s">
        <v>417</v>
      </c>
      <c r="C1588" t="s">
        <v>388</v>
      </c>
      <c r="D1588" t="s">
        <v>384</v>
      </c>
      <c r="E1588">
        <v>64544</v>
      </c>
      <c r="F1588">
        <v>15453</v>
      </c>
      <c r="G1588">
        <v>99.04</v>
      </c>
      <c r="H1588">
        <v>9397</v>
      </c>
      <c r="I1588">
        <v>111305</v>
      </c>
      <c r="J1588">
        <v>126.63</v>
      </c>
      <c r="K1588">
        <v>111.42</v>
      </c>
      <c r="L1588">
        <v>2969</v>
      </c>
      <c r="M1588">
        <v>42397</v>
      </c>
      <c r="N1588">
        <v>16190</v>
      </c>
      <c r="O1588">
        <v>2445</v>
      </c>
      <c r="P1588">
        <v>542</v>
      </c>
    </row>
    <row r="1589" spans="1:16" x14ac:dyDescent="0.2">
      <c r="A1589" t="s">
        <v>340</v>
      </c>
      <c r="B1589" t="s">
        <v>417</v>
      </c>
      <c r="C1589" t="s">
        <v>385</v>
      </c>
      <c r="D1589" t="s">
        <v>384</v>
      </c>
      <c r="E1589">
        <v>116241</v>
      </c>
      <c r="F1589">
        <v>25840</v>
      </c>
      <c r="G1589">
        <v>96.14</v>
      </c>
      <c r="H1589">
        <v>15400</v>
      </c>
      <c r="I1589">
        <v>170384</v>
      </c>
      <c r="J1589">
        <v>129.5</v>
      </c>
      <c r="K1589">
        <v>118.69</v>
      </c>
      <c r="L1589">
        <v>5802</v>
      </c>
      <c r="M1589">
        <v>76530</v>
      </c>
      <c r="N1589">
        <v>28609</v>
      </c>
      <c r="O1589">
        <v>4335</v>
      </c>
      <c r="P1589">
        <v>965</v>
      </c>
    </row>
    <row r="1590" spans="1:16" x14ac:dyDescent="0.2">
      <c r="A1590" t="s">
        <v>340</v>
      </c>
      <c r="B1590" t="s">
        <v>346</v>
      </c>
      <c r="C1590" t="s">
        <v>359</v>
      </c>
      <c r="D1590" t="s">
        <v>384</v>
      </c>
      <c r="E1590">
        <v>7201</v>
      </c>
      <c r="F1590">
        <v>258</v>
      </c>
      <c r="G1590">
        <v>38.520000000000003</v>
      </c>
      <c r="H1590">
        <v>472</v>
      </c>
      <c r="I1590">
        <v>3819</v>
      </c>
      <c r="J1590">
        <v>49.92</v>
      </c>
      <c r="K1590">
        <v>67.94</v>
      </c>
      <c r="L1590">
        <v>141</v>
      </c>
      <c r="M1590">
        <v>3825</v>
      </c>
      <c r="N1590">
        <v>3136</v>
      </c>
      <c r="O1590">
        <v>86</v>
      </c>
      <c r="P1590">
        <v>13</v>
      </c>
    </row>
    <row r="1591" spans="1:16" x14ac:dyDescent="0.2">
      <c r="A1591" t="s">
        <v>340</v>
      </c>
      <c r="B1591" t="s">
        <v>346</v>
      </c>
      <c r="C1591" t="s">
        <v>386</v>
      </c>
      <c r="D1591" t="s">
        <v>384</v>
      </c>
      <c r="E1591">
        <v>70928</v>
      </c>
      <c r="F1591">
        <v>14366</v>
      </c>
      <c r="G1591">
        <v>90.89</v>
      </c>
      <c r="H1591">
        <v>9773</v>
      </c>
      <c r="I1591">
        <v>109335</v>
      </c>
      <c r="J1591">
        <v>127.67</v>
      </c>
      <c r="K1591">
        <v>112.65</v>
      </c>
      <c r="L1591">
        <v>3680</v>
      </c>
      <c r="M1591">
        <v>45936</v>
      </c>
      <c r="N1591">
        <v>17878</v>
      </c>
      <c r="O1591">
        <v>2840</v>
      </c>
      <c r="P1591">
        <v>593</v>
      </c>
    </row>
    <row r="1592" spans="1:16" x14ac:dyDescent="0.2">
      <c r="A1592" t="s">
        <v>340</v>
      </c>
      <c r="B1592" t="s">
        <v>417</v>
      </c>
      <c r="C1592" t="s">
        <v>386</v>
      </c>
      <c r="D1592" t="s">
        <v>384</v>
      </c>
      <c r="E1592">
        <v>80524</v>
      </c>
      <c r="F1592">
        <v>16953</v>
      </c>
      <c r="G1592">
        <v>91.85</v>
      </c>
      <c r="H1592">
        <v>11060</v>
      </c>
      <c r="I1592">
        <v>123775</v>
      </c>
      <c r="J1592">
        <v>128.26</v>
      </c>
      <c r="K1592">
        <v>111.86</v>
      </c>
      <c r="L1592">
        <v>6091</v>
      </c>
      <c r="M1592">
        <v>50622</v>
      </c>
      <c r="N1592">
        <v>17977</v>
      </c>
      <c r="O1592">
        <v>5048</v>
      </c>
      <c r="P1592">
        <v>785</v>
      </c>
    </row>
    <row r="1593" spans="1:16" x14ac:dyDescent="0.2">
      <c r="A1593" t="s">
        <v>340</v>
      </c>
      <c r="B1593" t="s">
        <v>417</v>
      </c>
      <c r="C1593" t="s">
        <v>387</v>
      </c>
      <c r="D1593" t="s">
        <v>384</v>
      </c>
      <c r="E1593">
        <v>96720</v>
      </c>
      <c r="F1593">
        <v>23444</v>
      </c>
      <c r="G1593">
        <v>99.14</v>
      </c>
      <c r="H1593">
        <v>14727</v>
      </c>
      <c r="I1593">
        <v>162985</v>
      </c>
      <c r="J1593">
        <v>124.12</v>
      </c>
      <c r="K1593">
        <v>110.68</v>
      </c>
      <c r="L1593">
        <v>9362</v>
      </c>
      <c r="M1593">
        <v>61180</v>
      </c>
      <c r="N1593">
        <v>17634</v>
      </c>
      <c r="O1593">
        <v>7438</v>
      </c>
      <c r="P1593">
        <v>1106</v>
      </c>
    </row>
    <row r="1594" spans="1:16" x14ac:dyDescent="0.2">
      <c r="A1594" t="s">
        <v>340</v>
      </c>
      <c r="B1594" t="s">
        <v>346</v>
      </c>
      <c r="C1594" t="s">
        <v>387</v>
      </c>
      <c r="D1594" t="s">
        <v>384</v>
      </c>
      <c r="E1594">
        <v>83325</v>
      </c>
      <c r="F1594">
        <v>20677</v>
      </c>
      <c r="G1594">
        <v>101.24</v>
      </c>
      <c r="H1594">
        <v>13146</v>
      </c>
      <c r="I1594">
        <v>143013</v>
      </c>
      <c r="J1594">
        <v>125.06</v>
      </c>
      <c r="K1594">
        <v>113.99</v>
      </c>
      <c r="L1594">
        <v>4772</v>
      </c>
      <c r="M1594">
        <v>55401</v>
      </c>
      <c r="N1594">
        <v>17550</v>
      </c>
      <c r="O1594">
        <v>4707</v>
      </c>
      <c r="P1594">
        <v>895</v>
      </c>
    </row>
    <row r="1595" spans="1:16" x14ac:dyDescent="0.2">
      <c r="A1595" t="s">
        <v>341</v>
      </c>
      <c r="B1595" t="s">
        <v>417</v>
      </c>
      <c r="C1595" t="s">
        <v>384</v>
      </c>
      <c r="D1595" t="s">
        <v>384</v>
      </c>
      <c r="E1595">
        <v>1717</v>
      </c>
      <c r="F1595">
        <v>293</v>
      </c>
      <c r="G1595">
        <v>81.92</v>
      </c>
      <c r="L1595">
        <v>6</v>
      </c>
      <c r="M1595">
        <v>80</v>
      </c>
      <c r="N1595">
        <v>1027</v>
      </c>
      <c r="O1595">
        <v>548</v>
      </c>
      <c r="P1595">
        <v>56</v>
      </c>
    </row>
    <row r="1596" spans="1:16" x14ac:dyDescent="0.2">
      <c r="A1596" t="s">
        <v>341</v>
      </c>
      <c r="B1596" t="s">
        <v>417</v>
      </c>
      <c r="C1596" t="s">
        <v>649</v>
      </c>
      <c r="D1596" t="s">
        <v>384</v>
      </c>
      <c r="E1596">
        <v>365584</v>
      </c>
      <c r="F1596">
        <v>81966</v>
      </c>
      <c r="G1596">
        <v>95.33</v>
      </c>
      <c r="H1596">
        <v>51081</v>
      </c>
      <c r="I1596">
        <v>572337</v>
      </c>
      <c r="J1596">
        <v>126.39</v>
      </c>
      <c r="K1596">
        <v>113.18</v>
      </c>
      <c r="L1596">
        <v>24532</v>
      </c>
      <c r="M1596">
        <v>234641</v>
      </c>
      <c r="N1596">
        <v>83548</v>
      </c>
      <c r="O1596">
        <v>19447</v>
      </c>
      <c r="P1596">
        <v>3414</v>
      </c>
    </row>
    <row r="1597" spans="1:16" x14ac:dyDescent="0.2">
      <c r="A1597" t="s">
        <v>341</v>
      </c>
      <c r="B1597" t="s">
        <v>417</v>
      </c>
      <c r="C1597" t="s">
        <v>853</v>
      </c>
      <c r="D1597" t="s">
        <v>384</v>
      </c>
      <c r="E1597">
        <v>172</v>
      </c>
      <c r="F1597">
        <v>124</v>
      </c>
      <c r="G1597">
        <v>214.7</v>
      </c>
      <c r="I1597">
        <v>2</v>
      </c>
      <c r="K1597">
        <v>362</v>
      </c>
      <c r="L1597">
        <v>15</v>
      </c>
      <c r="M1597">
        <v>49</v>
      </c>
      <c r="N1597">
        <v>103</v>
      </c>
      <c r="O1597">
        <v>5</v>
      </c>
    </row>
    <row r="1598" spans="1:16" x14ac:dyDescent="0.2">
      <c r="A1598" t="s">
        <v>341</v>
      </c>
      <c r="B1598" t="s">
        <v>417</v>
      </c>
      <c r="C1598" t="s">
        <v>109</v>
      </c>
      <c r="D1598" t="s">
        <v>384</v>
      </c>
      <c r="E1598">
        <v>1106</v>
      </c>
      <c r="F1598">
        <v>195</v>
      </c>
      <c r="G1598">
        <v>92.97</v>
      </c>
      <c r="H1598">
        <v>577</v>
      </c>
      <c r="I1598">
        <v>5246</v>
      </c>
      <c r="J1598">
        <v>125.97</v>
      </c>
      <c r="K1598">
        <v>106.61</v>
      </c>
      <c r="L1598">
        <v>145</v>
      </c>
      <c r="M1598">
        <v>683</v>
      </c>
      <c r="N1598">
        <v>218</v>
      </c>
      <c r="O1598">
        <v>29</v>
      </c>
      <c r="P1598">
        <v>31</v>
      </c>
    </row>
    <row r="1599" spans="1:16" x14ac:dyDescent="0.2">
      <c r="A1599" t="s">
        <v>341</v>
      </c>
      <c r="B1599" t="s">
        <v>417</v>
      </c>
      <c r="C1599" t="s">
        <v>110</v>
      </c>
      <c r="D1599" t="s">
        <v>384</v>
      </c>
      <c r="E1599">
        <v>1713</v>
      </c>
      <c r="F1599">
        <v>512</v>
      </c>
      <c r="G1599">
        <v>104.93</v>
      </c>
      <c r="H1599">
        <v>1204</v>
      </c>
      <c r="I1599">
        <v>12650</v>
      </c>
      <c r="J1599">
        <v>86.24</v>
      </c>
      <c r="K1599">
        <v>73.09</v>
      </c>
      <c r="L1599">
        <v>176</v>
      </c>
      <c r="M1599">
        <v>834</v>
      </c>
      <c r="N1599">
        <v>363</v>
      </c>
      <c r="O1599">
        <v>179</v>
      </c>
      <c r="P1599">
        <v>161</v>
      </c>
    </row>
    <row r="1600" spans="1:16" x14ac:dyDescent="0.2">
      <c r="A1600" t="s">
        <v>341</v>
      </c>
      <c r="B1600" t="s">
        <v>417</v>
      </c>
      <c r="C1600" t="s">
        <v>111</v>
      </c>
      <c r="D1600" t="s">
        <v>384</v>
      </c>
      <c r="E1600">
        <v>917</v>
      </c>
      <c r="F1600">
        <v>246</v>
      </c>
      <c r="G1600">
        <v>111.44</v>
      </c>
      <c r="H1600">
        <v>620</v>
      </c>
      <c r="I1600">
        <v>6035</v>
      </c>
      <c r="J1600">
        <v>132.77000000000001</v>
      </c>
      <c r="K1600">
        <v>100.82</v>
      </c>
      <c r="L1600">
        <v>123</v>
      </c>
      <c r="M1600">
        <v>503</v>
      </c>
      <c r="N1600">
        <v>146</v>
      </c>
      <c r="O1600">
        <v>124</v>
      </c>
      <c r="P1600">
        <v>21</v>
      </c>
    </row>
    <row r="1601" spans="1:16" x14ac:dyDescent="0.2">
      <c r="A1601" t="s">
        <v>341</v>
      </c>
      <c r="B1601" t="s">
        <v>417</v>
      </c>
      <c r="C1601" t="s">
        <v>112</v>
      </c>
      <c r="D1601" t="s">
        <v>384</v>
      </c>
      <c r="E1601">
        <v>726</v>
      </c>
      <c r="F1601">
        <v>40</v>
      </c>
      <c r="G1601">
        <v>73.87</v>
      </c>
      <c r="H1601">
        <v>422</v>
      </c>
      <c r="I1601">
        <v>4350</v>
      </c>
      <c r="J1601">
        <v>94.58</v>
      </c>
      <c r="K1601">
        <v>91.25</v>
      </c>
      <c r="L1601">
        <v>108</v>
      </c>
      <c r="M1601">
        <v>349</v>
      </c>
      <c r="N1601">
        <v>134</v>
      </c>
      <c r="O1601">
        <v>126</v>
      </c>
      <c r="P1601">
        <v>9</v>
      </c>
    </row>
    <row r="1602" spans="1:16" x14ac:dyDescent="0.2">
      <c r="A1602" t="s">
        <v>341</v>
      </c>
      <c r="B1602" t="s">
        <v>417</v>
      </c>
      <c r="C1602" t="s">
        <v>113</v>
      </c>
      <c r="D1602" t="s">
        <v>384</v>
      </c>
      <c r="E1602">
        <v>806</v>
      </c>
      <c r="F1602">
        <v>23</v>
      </c>
      <c r="G1602">
        <v>67.75</v>
      </c>
      <c r="H1602">
        <v>443</v>
      </c>
      <c r="I1602">
        <v>4655</v>
      </c>
      <c r="J1602">
        <v>84.09</v>
      </c>
      <c r="K1602">
        <v>88.42</v>
      </c>
      <c r="L1602">
        <v>109</v>
      </c>
      <c r="M1602">
        <v>501</v>
      </c>
      <c r="N1602">
        <v>47</v>
      </c>
      <c r="O1602">
        <v>132</v>
      </c>
      <c r="P1602">
        <v>17</v>
      </c>
    </row>
    <row r="1603" spans="1:16" x14ac:dyDescent="0.2">
      <c r="A1603" t="s">
        <v>341</v>
      </c>
      <c r="B1603" t="s">
        <v>417</v>
      </c>
      <c r="C1603" t="s">
        <v>114</v>
      </c>
      <c r="D1603" t="s">
        <v>384</v>
      </c>
      <c r="E1603">
        <v>329</v>
      </c>
      <c r="F1603">
        <v>14</v>
      </c>
      <c r="G1603">
        <v>69.739999999999995</v>
      </c>
      <c r="H1603">
        <v>258</v>
      </c>
      <c r="I1603">
        <v>2655</v>
      </c>
      <c r="J1603">
        <v>93.59</v>
      </c>
      <c r="K1603">
        <v>85.85</v>
      </c>
      <c r="L1603">
        <v>40</v>
      </c>
      <c r="M1603">
        <v>219</v>
      </c>
      <c r="N1603">
        <v>33</v>
      </c>
      <c r="O1603">
        <v>25</v>
      </c>
      <c r="P1603">
        <v>12</v>
      </c>
    </row>
    <row r="1604" spans="1:16" x14ac:dyDescent="0.2">
      <c r="A1604" t="s">
        <v>341</v>
      </c>
      <c r="B1604" t="s">
        <v>417</v>
      </c>
      <c r="C1604" t="s">
        <v>86</v>
      </c>
      <c r="D1604" t="s">
        <v>384</v>
      </c>
      <c r="E1604">
        <v>5078</v>
      </c>
      <c r="F1604">
        <v>1752</v>
      </c>
      <c r="G1604">
        <v>111.51</v>
      </c>
      <c r="H1604">
        <v>3004</v>
      </c>
      <c r="I1604">
        <v>29849</v>
      </c>
      <c r="J1604">
        <v>127.38</v>
      </c>
      <c r="K1604">
        <v>114.33</v>
      </c>
      <c r="L1604">
        <v>1060</v>
      </c>
      <c r="M1604">
        <v>1960</v>
      </c>
      <c r="N1604">
        <v>413</v>
      </c>
      <c r="O1604">
        <v>1399</v>
      </c>
      <c r="P1604">
        <v>246</v>
      </c>
    </row>
    <row r="1605" spans="1:16" x14ac:dyDescent="0.2">
      <c r="A1605" t="s">
        <v>341</v>
      </c>
      <c r="B1605" t="s">
        <v>417</v>
      </c>
      <c r="C1605" t="s">
        <v>115</v>
      </c>
      <c r="D1605" t="s">
        <v>384</v>
      </c>
      <c r="E1605">
        <v>653</v>
      </c>
      <c r="F1605">
        <v>141</v>
      </c>
      <c r="G1605">
        <v>121.7</v>
      </c>
      <c r="H1605">
        <v>519</v>
      </c>
      <c r="I1605">
        <v>4733</v>
      </c>
      <c r="J1605">
        <v>116.76</v>
      </c>
      <c r="K1605">
        <v>126.39</v>
      </c>
      <c r="L1605">
        <v>96</v>
      </c>
      <c r="M1605">
        <v>304</v>
      </c>
      <c r="N1605">
        <v>136</v>
      </c>
      <c r="O1605">
        <v>111</v>
      </c>
      <c r="P1605">
        <v>6</v>
      </c>
    </row>
    <row r="1606" spans="1:16" x14ac:dyDescent="0.2">
      <c r="A1606" t="s">
        <v>341</v>
      </c>
      <c r="B1606" t="s">
        <v>417</v>
      </c>
      <c r="C1606" t="s">
        <v>116</v>
      </c>
      <c r="D1606" t="s">
        <v>384</v>
      </c>
      <c r="E1606">
        <v>898</v>
      </c>
      <c r="F1606">
        <v>97</v>
      </c>
      <c r="G1606">
        <v>78.86</v>
      </c>
      <c r="H1606">
        <v>344</v>
      </c>
      <c r="I1606">
        <v>3736</v>
      </c>
      <c r="J1606">
        <v>104.48</v>
      </c>
      <c r="K1606">
        <v>101.8</v>
      </c>
      <c r="L1606">
        <v>176</v>
      </c>
      <c r="M1606">
        <v>468</v>
      </c>
      <c r="N1606">
        <v>104</v>
      </c>
      <c r="O1606">
        <v>133</v>
      </c>
      <c r="P1606">
        <v>17</v>
      </c>
    </row>
    <row r="1607" spans="1:16" x14ac:dyDescent="0.2">
      <c r="A1607" t="s">
        <v>341</v>
      </c>
      <c r="B1607" t="s">
        <v>417</v>
      </c>
      <c r="C1607" t="s">
        <v>89</v>
      </c>
      <c r="D1607" t="s">
        <v>384</v>
      </c>
      <c r="E1607">
        <v>3383</v>
      </c>
      <c r="F1607">
        <v>1049</v>
      </c>
      <c r="G1607">
        <v>107.76</v>
      </c>
      <c r="H1607">
        <v>1488</v>
      </c>
      <c r="I1607">
        <v>15755</v>
      </c>
      <c r="J1607">
        <v>139.19999999999999</v>
      </c>
      <c r="K1607">
        <v>129.72999999999999</v>
      </c>
      <c r="L1607">
        <v>565</v>
      </c>
      <c r="M1607">
        <v>2107</v>
      </c>
      <c r="N1607">
        <v>316</v>
      </c>
      <c r="O1607">
        <v>345</v>
      </c>
      <c r="P1607">
        <v>50</v>
      </c>
    </row>
    <row r="1608" spans="1:16" x14ac:dyDescent="0.2">
      <c r="A1608" t="s">
        <v>341</v>
      </c>
      <c r="B1608" t="s">
        <v>417</v>
      </c>
      <c r="C1608" t="s">
        <v>117</v>
      </c>
      <c r="D1608" t="s">
        <v>384</v>
      </c>
      <c r="E1608">
        <v>1548</v>
      </c>
      <c r="F1608">
        <v>512</v>
      </c>
      <c r="G1608">
        <v>116.46</v>
      </c>
      <c r="H1608">
        <v>766</v>
      </c>
      <c r="I1608">
        <v>7626</v>
      </c>
      <c r="J1608">
        <v>138.13</v>
      </c>
      <c r="K1608">
        <v>133.35</v>
      </c>
      <c r="L1608">
        <v>226</v>
      </c>
      <c r="M1608">
        <v>892</v>
      </c>
      <c r="N1608">
        <v>237</v>
      </c>
      <c r="O1608">
        <v>192</v>
      </c>
      <c r="P1608">
        <v>1</v>
      </c>
    </row>
    <row r="1609" spans="1:16" x14ac:dyDescent="0.2">
      <c r="A1609" t="s">
        <v>341</v>
      </c>
      <c r="B1609" t="s">
        <v>417</v>
      </c>
      <c r="C1609" t="s">
        <v>118</v>
      </c>
      <c r="D1609" t="s">
        <v>384</v>
      </c>
      <c r="E1609">
        <v>4808</v>
      </c>
      <c r="F1609">
        <v>1370</v>
      </c>
      <c r="G1609">
        <v>99.69</v>
      </c>
      <c r="H1609">
        <v>1477</v>
      </c>
      <c r="I1609">
        <v>19003</v>
      </c>
      <c r="J1609">
        <v>133.04</v>
      </c>
      <c r="K1609">
        <v>120.62</v>
      </c>
      <c r="L1609">
        <v>619</v>
      </c>
      <c r="M1609">
        <v>3344</v>
      </c>
      <c r="N1609">
        <v>428</v>
      </c>
      <c r="O1609">
        <v>352</v>
      </c>
      <c r="P1609">
        <v>65</v>
      </c>
    </row>
    <row r="1610" spans="1:16" x14ac:dyDescent="0.2">
      <c r="A1610" t="s">
        <v>341</v>
      </c>
      <c r="B1610" t="s">
        <v>417</v>
      </c>
      <c r="C1610" t="s">
        <v>119</v>
      </c>
      <c r="D1610" t="s">
        <v>384</v>
      </c>
      <c r="E1610">
        <v>4475</v>
      </c>
      <c r="F1610">
        <v>990</v>
      </c>
      <c r="G1610">
        <v>97.28</v>
      </c>
      <c r="H1610">
        <v>2309</v>
      </c>
      <c r="I1610">
        <v>29920</v>
      </c>
      <c r="J1610">
        <v>127.77</v>
      </c>
      <c r="K1610">
        <v>119.39</v>
      </c>
      <c r="L1610">
        <v>708</v>
      </c>
      <c r="M1610">
        <v>2265</v>
      </c>
      <c r="N1610">
        <v>437</v>
      </c>
      <c r="O1610">
        <v>809</v>
      </c>
      <c r="P1610">
        <v>256</v>
      </c>
    </row>
    <row r="1611" spans="1:16" x14ac:dyDescent="0.2">
      <c r="A1611" t="s">
        <v>341</v>
      </c>
      <c r="B1611" t="s">
        <v>417</v>
      </c>
      <c r="C1611" t="s">
        <v>120</v>
      </c>
      <c r="D1611" t="s">
        <v>384</v>
      </c>
      <c r="E1611">
        <v>6454</v>
      </c>
      <c r="F1611">
        <v>1890</v>
      </c>
      <c r="G1611">
        <v>112.76</v>
      </c>
      <c r="H1611">
        <v>2636</v>
      </c>
      <c r="I1611">
        <v>31770</v>
      </c>
      <c r="J1611">
        <v>130.06</v>
      </c>
      <c r="K1611">
        <v>112.05</v>
      </c>
      <c r="L1611">
        <v>754</v>
      </c>
      <c r="M1611">
        <v>3061</v>
      </c>
      <c r="N1611">
        <v>1152</v>
      </c>
      <c r="O1611">
        <v>1125</v>
      </c>
      <c r="P1611">
        <v>362</v>
      </c>
    </row>
    <row r="1612" spans="1:16" x14ac:dyDescent="0.2">
      <c r="A1612" t="s">
        <v>341</v>
      </c>
      <c r="B1612" t="s">
        <v>417</v>
      </c>
      <c r="C1612" t="s">
        <v>121</v>
      </c>
      <c r="D1612" t="s">
        <v>384</v>
      </c>
      <c r="E1612">
        <v>2454</v>
      </c>
      <c r="F1612">
        <v>596</v>
      </c>
      <c r="G1612">
        <v>100.18</v>
      </c>
      <c r="H1612">
        <v>1034</v>
      </c>
      <c r="I1612">
        <v>12548</v>
      </c>
      <c r="J1612">
        <v>122.4</v>
      </c>
      <c r="K1612">
        <v>112.13</v>
      </c>
      <c r="L1612">
        <v>411</v>
      </c>
      <c r="M1612">
        <v>1273</v>
      </c>
      <c r="N1612">
        <v>387</v>
      </c>
      <c r="O1612">
        <v>343</v>
      </c>
      <c r="P1612">
        <v>40</v>
      </c>
    </row>
    <row r="1613" spans="1:16" x14ac:dyDescent="0.2">
      <c r="A1613" t="s">
        <v>341</v>
      </c>
      <c r="B1613" t="s">
        <v>417</v>
      </c>
      <c r="C1613" t="s">
        <v>80</v>
      </c>
      <c r="D1613" t="s">
        <v>384</v>
      </c>
      <c r="E1613">
        <v>2111</v>
      </c>
      <c r="F1613">
        <v>674</v>
      </c>
      <c r="G1613">
        <v>117.45</v>
      </c>
      <c r="H1613">
        <v>1130</v>
      </c>
      <c r="I1613">
        <v>13116</v>
      </c>
      <c r="J1613">
        <v>132.44</v>
      </c>
      <c r="K1613">
        <v>124.34</v>
      </c>
      <c r="L1613">
        <v>280</v>
      </c>
      <c r="M1613">
        <v>1057</v>
      </c>
      <c r="N1613">
        <v>357</v>
      </c>
      <c r="O1613">
        <v>355</v>
      </c>
      <c r="P1613">
        <v>62</v>
      </c>
    </row>
    <row r="1614" spans="1:16" x14ac:dyDescent="0.2">
      <c r="A1614" t="s">
        <v>341</v>
      </c>
      <c r="B1614" t="s">
        <v>417</v>
      </c>
      <c r="C1614" t="s">
        <v>122</v>
      </c>
      <c r="D1614" t="s">
        <v>384</v>
      </c>
      <c r="E1614">
        <v>1124</v>
      </c>
      <c r="F1614">
        <v>189</v>
      </c>
      <c r="G1614">
        <v>86.66</v>
      </c>
      <c r="H1614">
        <v>585</v>
      </c>
      <c r="I1614">
        <v>7067</v>
      </c>
      <c r="J1614">
        <v>132.16</v>
      </c>
      <c r="K1614">
        <v>126.33</v>
      </c>
      <c r="L1614">
        <v>178</v>
      </c>
      <c r="M1614">
        <v>584</v>
      </c>
      <c r="N1614">
        <v>192</v>
      </c>
      <c r="O1614">
        <v>118</v>
      </c>
      <c r="P1614">
        <v>52</v>
      </c>
    </row>
    <row r="1615" spans="1:16" x14ac:dyDescent="0.2">
      <c r="A1615" t="s">
        <v>341</v>
      </c>
      <c r="B1615" t="s">
        <v>417</v>
      </c>
      <c r="C1615" t="s">
        <v>123</v>
      </c>
      <c r="D1615" t="s">
        <v>384</v>
      </c>
      <c r="E1615">
        <v>1875</v>
      </c>
      <c r="F1615">
        <v>572</v>
      </c>
      <c r="G1615">
        <v>112.39</v>
      </c>
      <c r="H1615">
        <v>903</v>
      </c>
      <c r="I1615">
        <v>8739</v>
      </c>
      <c r="J1615">
        <v>125.93</v>
      </c>
      <c r="K1615">
        <v>96.82</v>
      </c>
      <c r="L1615">
        <v>289</v>
      </c>
      <c r="M1615">
        <v>1050</v>
      </c>
      <c r="N1615">
        <v>337</v>
      </c>
      <c r="O1615">
        <v>170</v>
      </c>
      <c r="P1615">
        <v>29</v>
      </c>
    </row>
    <row r="1616" spans="1:16" x14ac:dyDescent="0.2">
      <c r="A1616" t="s">
        <v>341</v>
      </c>
      <c r="B1616" t="s">
        <v>417</v>
      </c>
      <c r="C1616" t="s">
        <v>124</v>
      </c>
      <c r="D1616" t="s">
        <v>384</v>
      </c>
      <c r="E1616">
        <v>775</v>
      </c>
      <c r="F1616">
        <v>271</v>
      </c>
      <c r="G1616">
        <v>139.06</v>
      </c>
      <c r="H1616">
        <v>417</v>
      </c>
      <c r="I1616">
        <v>5144</v>
      </c>
      <c r="J1616">
        <v>171.23</v>
      </c>
      <c r="K1616">
        <v>122.27</v>
      </c>
      <c r="L1616">
        <v>80</v>
      </c>
      <c r="M1616">
        <v>494</v>
      </c>
      <c r="N1616">
        <v>141</v>
      </c>
      <c r="O1616">
        <v>34</v>
      </c>
      <c r="P1616">
        <v>26</v>
      </c>
    </row>
    <row r="1617" spans="1:16" x14ac:dyDescent="0.2">
      <c r="A1617" t="s">
        <v>341</v>
      </c>
      <c r="B1617" t="s">
        <v>417</v>
      </c>
      <c r="C1617" t="s">
        <v>125</v>
      </c>
      <c r="D1617" t="s">
        <v>384</v>
      </c>
      <c r="E1617">
        <v>2780</v>
      </c>
      <c r="F1617">
        <v>816</v>
      </c>
      <c r="G1617">
        <v>104.28</v>
      </c>
      <c r="H1617">
        <v>1254</v>
      </c>
      <c r="I1617">
        <v>12212</v>
      </c>
      <c r="J1617">
        <v>140.31</v>
      </c>
      <c r="K1617">
        <v>126.05</v>
      </c>
      <c r="L1617">
        <v>504</v>
      </c>
      <c r="M1617">
        <v>1396</v>
      </c>
      <c r="N1617">
        <v>294</v>
      </c>
      <c r="O1617">
        <v>470</v>
      </c>
      <c r="P1617">
        <v>116</v>
      </c>
    </row>
    <row r="1618" spans="1:16" x14ac:dyDescent="0.2">
      <c r="A1618" t="s">
        <v>341</v>
      </c>
      <c r="B1618" t="s">
        <v>417</v>
      </c>
      <c r="C1618" t="s">
        <v>126</v>
      </c>
      <c r="D1618" t="s">
        <v>384</v>
      </c>
      <c r="E1618">
        <v>1291</v>
      </c>
      <c r="F1618">
        <v>343</v>
      </c>
      <c r="G1618">
        <v>98.75</v>
      </c>
      <c r="H1618">
        <v>904</v>
      </c>
      <c r="I1618">
        <v>9008</v>
      </c>
      <c r="J1618">
        <v>128.15</v>
      </c>
      <c r="K1618">
        <v>126</v>
      </c>
      <c r="L1618">
        <v>250</v>
      </c>
      <c r="M1618">
        <v>820</v>
      </c>
      <c r="N1618">
        <v>131</v>
      </c>
      <c r="O1618">
        <v>84</v>
      </c>
      <c r="P1618">
        <v>4</v>
      </c>
    </row>
    <row r="1619" spans="1:16" x14ac:dyDescent="0.2">
      <c r="A1619" t="s">
        <v>341</v>
      </c>
      <c r="B1619" t="s">
        <v>417</v>
      </c>
      <c r="C1619" t="s">
        <v>127</v>
      </c>
      <c r="D1619" t="s">
        <v>384</v>
      </c>
      <c r="E1619">
        <v>1998</v>
      </c>
      <c r="F1619">
        <v>795</v>
      </c>
      <c r="G1619">
        <v>127.7</v>
      </c>
      <c r="H1619">
        <v>891</v>
      </c>
      <c r="I1619">
        <v>9392</v>
      </c>
      <c r="J1619">
        <v>153.03</v>
      </c>
      <c r="K1619">
        <v>121</v>
      </c>
      <c r="L1619">
        <v>220</v>
      </c>
      <c r="M1619">
        <v>1193</v>
      </c>
      <c r="N1619">
        <v>210</v>
      </c>
      <c r="O1619">
        <v>177</v>
      </c>
      <c r="P1619">
        <v>198</v>
      </c>
    </row>
    <row r="1620" spans="1:16" x14ac:dyDescent="0.2">
      <c r="A1620" t="s">
        <v>341</v>
      </c>
      <c r="B1620" t="s">
        <v>417</v>
      </c>
      <c r="C1620" t="s">
        <v>128</v>
      </c>
      <c r="D1620" t="s">
        <v>384</v>
      </c>
      <c r="E1620">
        <v>1062</v>
      </c>
      <c r="F1620">
        <v>116</v>
      </c>
      <c r="G1620">
        <v>83.14</v>
      </c>
      <c r="H1620">
        <v>434</v>
      </c>
      <c r="I1620">
        <v>4568</v>
      </c>
      <c r="J1620">
        <v>96.87</v>
      </c>
      <c r="K1620">
        <v>92.83</v>
      </c>
      <c r="L1620">
        <v>209</v>
      </c>
      <c r="M1620">
        <v>593</v>
      </c>
      <c r="N1620">
        <v>138</v>
      </c>
      <c r="O1620">
        <v>99</v>
      </c>
      <c r="P1620">
        <v>23</v>
      </c>
    </row>
    <row r="1621" spans="1:16" x14ac:dyDescent="0.2">
      <c r="A1621" t="s">
        <v>341</v>
      </c>
      <c r="B1621" t="s">
        <v>417</v>
      </c>
      <c r="C1621" t="s">
        <v>129</v>
      </c>
      <c r="D1621" t="s">
        <v>384</v>
      </c>
      <c r="E1621">
        <v>1470</v>
      </c>
      <c r="F1621">
        <v>384</v>
      </c>
      <c r="G1621">
        <v>106.65</v>
      </c>
      <c r="H1621">
        <v>787</v>
      </c>
      <c r="I1621">
        <v>8773</v>
      </c>
      <c r="J1621">
        <v>126.29</v>
      </c>
      <c r="K1621">
        <v>119.74</v>
      </c>
      <c r="L1621">
        <v>216</v>
      </c>
      <c r="M1621">
        <v>777</v>
      </c>
      <c r="N1621">
        <v>293</v>
      </c>
      <c r="O1621">
        <v>175</v>
      </c>
      <c r="P1621">
        <v>9</v>
      </c>
    </row>
    <row r="1622" spans="1:16" x14ac:dyDescent="0.2">
      <c r="A1622" t="s">
        <v>341</v>
      </c>
      <c r="B1622" t="s">
        <v>417</v>
      </c>
      <c r="C1622" t="s">
        <v>130</v>
      </c>
      <c r="D1622" t="s">
        <v>384</v>
      </c>
      <c r="E1622">
        <v>3695</v>
      </c>
      <c r="F1622">
        <v>1455</v>
      </c>
      <c r="G1622">
        <v>116.91</v>
      </c>
      <c r="H1622">
        <v>1921</v>
      </c>
      <c r="I1622">
        <v>21612</v>
      </c>
      <c r="J1622">
        <v>131.28</v>
      </c>
      <c r="K1622">
        <v>96.68</v>
      </c>
      <c r="L1622">
        <v>1047</v>
      </c>
      <c r="M1622">
        <v>1535</v>
      </c>
      <c r="N1622">
        <v>194</v>
      </c>
      <c r="O1622">
        <v>832</v>
      </c>
      <c r="P1622">
        <v>87</v>
      </c>
    </row>
    <row r="1623" spans="1:16" x14ac:dyDescent="0.2">
      <c r="A1623" t="s">
        <v>341</v>
      </c>
      <c r="B1623" t="s">
        <v>417</v>
      </c>
      <c r="C1623" t="s">
        <v>131</v>
      </c>
      <c r="D1623" t="s">
        <v>384</v>
      </c>
      <c r="E1623">
        <v>1747</v>
      </c>
      <c r="F1623">
        <v>284</v>
      </c>
      <c r="G1623">
        <v>90.2</v>
      </c>
      <c r="H1623">
        <v>1240</v>
      </c>
      <c r="I1623">
        <v>12769</v>
      </c>
      <c r="J1623">
        <v>128.29</v>
      </c>
      <c r="K1623">
        <v>107.45</v>
      </c>
      <c r="L1623">
        <v>224</v>
      </c>
      <c r="M1623">
        <v>945</v>
      </c>
      <c r="N1623">
        <v>216</v>
      </c>
      <c r="O1623">
        <v>277</v>
      </c>
      <c r="P1623">
        <v>85</v>
      </c>
    </row>
    <row r="1624" spans="1:16" x14ac:dyDescent="0.2">
      <c r="A1624" t="s">
        <v>341</v>
      </c>
      <c r="B1624" t="s">
        <v>417</v>
      </c>
      <c r="C1624" t="s">
        <v>132</v>
      </c>
      <c r="D1624" t="s">
        <v>384</v>
      </c>
      <c r="E1624">
        <v>954</v>
      </c>
      <c r="F1624">
        <v>30</v>
      </c>
      <c r="G1624">
        <v>72.56</v>
      </c>
      <c r="H1624">
        <v>554</v>
      </c>
      <c r="I1624">
        <v>5343</v>
      </c>
      <c r="J1624">
        <v>93.16</v>
      </c>
      <c r="K1624">
        <v>86.85</v>
      </c>
      <c r="L1624">
        <v>162</v>
      </c>
      <c r="M1624">
        <v>582</v>
      </c>
      <c r="N1624">
        <v>75</v>
      </c>
      <c r="O1624">
        <v>108</v>
      </c>
      <c r="P1624">
        <v>27</v>
      </c>
    </row>
    <row r="1625" spans="1:16" x14ac:dyDescent="0.2">
      <c r="A1625" t="s">
        <v>341</v>
      </c>
      <c r="B1625" t="s">
        <v>417</v>
      </c>
      <c r="C1625" t="s">
        <v>133</v>
      </c>
      <c r="D1625" t="s">
        <v>384</v>
      </c>
      <c r="E1625">
        <v>1910</v>
      </c>
      <c r="F1625">
        <v>617</v>
      </c>
      <c r="G1625">
        <v>112.7</v>
      </c>
      <c r="H1625">
        <v>803</v>
      </c>
      <c r="I1625">
        <v>8871</v>
      </c>
      <c r="J1625">
        <v>129.63999999999999</v>
      </c>
      <c r="K1625">
        <v>123.71</v>
      </c>
      <c r="L1625">
        <v>239</v>
      </c>
      <c r="M1625">
        <v>1066</v>
      </c>
      <c r="N1625">
        <v>303</v>
      </c>
      <c r="O1625">
        <v>218</v>
      </c>
      <c r="P1625">
        <v>84</v>
      </c>
    </row>
    <row r="1626" spans="1:16" x14ac:dyDescent="0.2">
      <c r="A1626" t="s">
        <v>341</v>
      </c>
      <c r="B1626" t="s">
        <v>417</v>
      </c>
      <c r="C1626" t="s">
        <v>134</v>
      </c>
      <c r="D1626" t="s">
        <v>384</v>
      </c>
      <c r="E1626">
        <v>4945</v>
      </c>
      <c r="F1626">
        <v>2096</v>
      </c>
      <c r="G1626">
        <v>123.59</v>
      </c>
      <c r="H1626">
        <v>2209</v>
      </c>
      <c r="I1626">
        <v>24851</v>
      </c>
      <c r="J1626">
        <v>119.48</v>
      </c>
      <c r="K1626">
        <v>103.38</v>
      </c>
      <c r="L1626">
        <v>1141</v>
      </c>
      <c r="M1626">
        <v>1931</v>
      </c>
      <c r="N1626">
        <v>187</v>
      </c>
      <c r="O1626">
        <v>1331</v>
      </c>
      <c r="P1626">
        <v>355</v>
      </c>
    </row>
    <row r="1627" spans="1:16" x14ac:dyDescent="0.2">
      <c r="A1627" t="s">
        <v>341</v>
      </c>
      <c r="B1627" t="s">
        <v>417</v>
      </c>
      <c r="C1627" t="s">
        <v>135</v>
      </c>
      <c r="D1627" t="s">
        <v>384</v>
      </c>
      <c r="E1627">
        <v>1414</v>
      </c>
      <c r="F1627">
        <v>317</v>
      </c>
      <c r="G1627">
        <v>96.53</v>
      </c>
      <c r="H1627">
        <v>432</v>
      </c>
      <c r="I1627">
        <v>7330</v>
      </c>
      <c r="J1627">
        <v>99.99</v>
      </c>
      <c r="K1627">
        <v>92.85</v>
      </c>
      <c r="L1627">
        <v>211</v>
      </c>
      <c r="M1627">
        <v>922</v>
      </c>
      <c r="N1627">
        <v>139</v>
      </c>
      <c r="O1627">
        <v>118</v>
      </c>
      <c r="P1627">
        <v>24</v>
      </c>
    </row>
    <row r="1628" spans="1:16" x14ac:dyDescent="0.2">
      <c r="A1628" t="s">
        <v>341</v>
      </c>
      <c r="B1628" t="s">
        <v>417</v>
      </c>
      <c r="C1628" t="s">
        <v>136</v>
      </c>
      <c r="D1628" t="s">
        <v>384</v>
      </c>
      <c r="E1628">
        <v>376</v>
      </c>
      <c r="F1628">
        <v>16</v>
      </c>
      <c r="G1628">
        <v>76.8</v>
      </c>
      <c r="H1628">
        <v>331</v>
      </c>
      <c r="I1628">
        <v>3399</v>
      </c>
      <c r="J1628">
        <v>98.33</v>
      </c>
      <c r="K1628">
        <v>91.57</v>
      </c>
      <c r="L1628">
        <v>48</v>
      </c>
      <c r="M1628">
        <v>188</v>
      </c>
      <c r="N1628">
        <v>24</v>
      </c>
      <c r="O1628">
        <v>102</v>
      </c>
      <c r="P1628">
        <v>14</v>
      </c>
    </row>
    <row r="1629" spans="1:16" x14ac:dyDescent="0.2">
      <c r="A1629" t="s">
        <v>341</v>
      </c>
      <c r="B1629" t="s">
        <v>417</v>
      </c>
      <c r="C1629" t="s">
        <v>137</v>
      </c>
      <c r="D1629" t="s">
        <v>384</v>
      </c>
      <c r="E1629">
        <v>2429</v>
      </c>
      <c r="F1629">
        <v>808</v>
      </c>
      <c r="G1629">
        <v>105.56</v>
      </c>
      <c r="H1629">
        <v>1516</v>
      </c>
      <c r="I1629">
        <v>17331</v>
      </c>
      <c r="J1629">
        <v>139.68</v>
      </c>
      <c r="K1629">
        <v>122.7</v>
      </c>
      <c r="L1629">
        <v>276</v>
      </c>
      <c r="M1629">
        <v>1393</v>
      </c>
      <c r="N1629">
        <v>312</v>
      </c>
      <c r="O1629">
        <v>415</v>
      </c>
      <c r="P1629">
        <v>33</v>
      </c>
    </row>
    <row r="1630" spans="1:16" x14ac:dyDescent="0.2">
      <c r="A1630" t="s">
        <v>341</v>
      </c>
      <c r="B1630" t="s">
        <v>417</v>
      </c>
      <c r="C1630" t="s">
        <v>138</v>
      </c>
      <c r="D1630" t="s">
        <v>384</v>
      </c>
      <c r="E1630">
        <v>1170</v>
      </c>
      <c r="F1630">
        <v>402</v>
      </c>
      <c r="G1630">
        <v>116.66</v>
      </c>
      <c r="H1630">
        <v>533</v>
      </c>
      <c r="I1630">
        <v>7616</v>
      </c>
      <c r="J1630">
        <v>142.36000000000001</v>
      </c>
      <c r="K1630">
        <v>134.47999999999999</v>
      </c>
      <c r="L1630">
        <v>180</v>
      </c>
      <c r="M1630">
        <v>645</v>
      </c>
      <c r="N1630">
        <v>167</v>
      </c>
      <c r="O1630">
        <v>133</v>
      </c>
      <c r="P1630">
        <v>45</v>
      </c>
    </row>
    <row r="1631" spans="1:16" x14ac:dyDescent="0.2">
      <c r="A1631" t="s">
        <v>341</v>
      </c>
      <c r="B1631" t="s">
        <v>417</v>
      </c>
      <c r="C1631" t="s">
        <v>139</v>
      </c>
      <c r="D1631" t="s">
        <v>384</v>
      </c>
      <c r="E1631">
        <v>2005</v>
      </c>
      <c r="F1631">
        <v>546</v>
      </c>
      <c r="G1631">
        <v>106.92</v>
      </c>
      <c r="H1631">
        <v>832</v>
      </c>
      <c r="I1631">
        <v>9286</v>
      </c>
      <c r="J1631">
        <v>132.25</v>
      </c>
      <c r="K1631">
        <v>131.35</v>
      </c>
      <c r="L1631">
        <v>306</v>
      </c>
      <c r="M1631">
        <v>1116</v>
      </c>
      <c r="N1631">
        <v>323</v>
      </c>
      <c r="O1631">
        <v>171</v>
      </c>
      <c r="P1631">
        <v>89</v>
      </c>
    </row>
    <row r="1632" spans="1:16" x14ac:dyDescent="0.2">
      <c r="A1632" t="s">
        <v>341</v>
      </c>
      <c r="B1632" t="s">
        <v>417</v>
      </c>
      <c r="C1632" t="s">
        <v>140</v>
      </c>
      <c r="D1632" t="s">
        <v>384</v>
      </c>
      <c r="E1632">
        <v>2469</v>
      </c>
      <c r="F1632">
        <v>722</v>
      </c>
      <c r="G1632">
        <v>100.19</v>
      </c>
      <c r="H1632">
        <v>708</v>
      </c>
      <c r="I1632">
        <v>11696</v>
      </c>
      <c r="J1632">
        <v>126.45</v>
      </c>
      <c r="K1632">
        <v>115.74</v>
      </c>
      <c r="L1632">
        <v>307</v>
      </c>
      <c r="M1632">
        <v>1529</v>
      </c>
      <c r="N1632">
        <v>293</v>
      </c>
      <c r="O1632">
        <v>259</v>
      </c>
      <c r="P1632">
        <v>81</v>
      </c>
    </row>
    <row r="1633" spans="1:16" x14ac:dyDescent="0.2">
      <c r="A1633" t="s">
        <v>341</v>
      </c>
      <c r="B1633" t="s">
        <v>417</v>
      </c>
      <c r="C1633" t="s">
        <v>141</v>
      </c>
      <c r="D1633" t="s">
        <v>384</v>
      </c>
      <c r="E1633">
        <v>4357</v>
      </c>
      <c r="F1633">
        <v>840</v>
      </c>
      <c r="G1633">
        <v>78.959999999999994</v>
      </c>
      <c r="H1633">
        <v>1843</v>
      </c>
      <c r="I1633">
        <v>22111</v>
      </c>
      <c r="J1633">
        <v>112.99</v>
      </c>
      <c r="K1633">
        <v>95.39</v>
      </c>
      <c r="L1633">
        <v>512</v>
      </c>
      <c r="M1633">
        <v>1556</v>
      </c>
      <c r="N1633">
        <v>1914</v>
      </c>
      <c r="O1633">
        <v>335</v>
      </c>
      <c r="P1633">
        <v>40</v>
      </c>
    </row>
    <row r="1634" spans="1:16" x14ac:dyDescent="0.2">
      <c r="A1634" t="s">
        <v>341</v>
      </c>
      <c r="B1634" t="s">
        <v>417</v>
      </c>
      <c r="C1634" t="s">
        <v>142</v>
      </c>
      <c r="D1634" t="s">
        <v>384</v>
      </c>
      <c r="E1634">
        <v>684</v>
      </c>
      <c r="F1634">
        <v>7</v>
      </c>
      <c r="G1634">
        <v>73.430000000000007</v>
      </c>
      <c r="H1634">
        <v>371</v>
      </c>
      <c r="I1634">
        <v>3842</v>
      </c>
      <c r="J1634">
        <v>91.25</v>
      </c>
      <c r="K1634">
        <v>88.76</v>
      </c>
      <c r="L1634">
        <v>93</v>
      </c>
      <c r="M1634">
        <v>392</v>
      </c>
      <c r="N1634">
        <v>61</v>
      </c>
      <c r="O1634">
        <v>102</v>
      </c>
      <c r="P1634">
        <v>36</v>
      </c>
    </row>
    <row r="1635" spans="1:16" x14ac:dyDescent="0.2">
      <c r="A1635" t="s">
        <v>341</v>
      </c>
      <c r="B1635" t="s">
        <v>417</v>
      </c>
      <c r="C1635" t="s">
        <v>143</v>
      </c>
      <c r="D1635" t="s">
        <v>384</v>
      </c>
      <c r="E1635">
        <v>1563</v>
      </c>
      <c r="F1635">
        <v>484</v>
      </c>
      <c r="G1635">
        <v>106.59</v>
      </c>
      <c r="H1635">
        <v>554</v>
      </c>
      <c r="I1635">
        <v>6408</v>
      </c>
      <c r="J1635">
        <v>132.29</v>
      </c>
      <c r="K1635">
        <v>133.49</v>
      </c>
      <c r="L1635">
        <v>272</v>
      </c>
      <c r="M1635">
        <v>1027</v>
      </c>
      <c r="N1635">
        <v>120</v>
      </c>
      <c r="O1635">
        <v>88</v>
      </c>
      <c r="P1635">
        <v>56</v>
      </c>
    </row>
    <row r="1636" spans="1:16" x14ac:dyDescent="0.2">
      <c r="A1636" t="s">
        <v>341</v>
      </c>
      <c r="B1636" t="s">
        <v>417</v>
      </c>
      <c r="C1636" t="s">
        <v>144</v>
      </c>
      <c r="D1636" t="s">
        <v>384</v>
      </c>
      <c r="E1636">
        <v>5087</v>
      </c>
      <c r="F1636">
        <v>1702</v>
      </c>
      <c r="G1636">
        <v>107.67</v>
      </c>
      <c r="H1636">
        <v>2285</v>
      </c>
      <c r="I1636">
        <v>28565</v>
      </c>
      <c r="J1636">
        <v>151.07</v>
      </c>
      <c r="K1636">
        <v>123.42</v>
      </c>
      <c r="L1636">
        <v>830</v>
      </c>
      <c r="M1636">
        <v>3359</v>
      </c>
      <c r="N1636">
        <v>637</v>
      </c>
      <c r="O1636">
        <v>220</v>
      </c>
      <c r="P1636">
        <v>41</v>
      </c>
    </row>
    <row r="1637" spans="1:16" x14ac:dyDescent="0.2">
      <c r="A1637" t="s">
        <v>341</v>
      </c>
      <c r="B1637" t="s">
        <v>417</v>
      </c>
      <c r="C1637" t="s">
        <v>145</v>
      </c>
      <c r="D1637" t="s">
        <v>384</v>
      </c>
      <c r="E1637">
        <v>1204</v>
      </c>
      <c r="F1637">
        <v>184</v>
      </c>
      <c r="G1637">
        <v>97.26</v>
      </c>
      <c r="H1637">
        <v>818</v>
      </c>
      <c r="I1637">
        <v>7801</v>
      </c>
      <c r="J1637">
        <v>137.44999999999999</v>
      </c>
      <c r="K1637">
        <v>137.03</v>
      </c>
      <c r="L1637">
        <v>165</v>
      </c>
      <c r="M1637">
        <v>637</v>
      </c>
      <c r="N1637">
        <v>133</v>
      </c>
      <c r="O1637">
        <v>221</v>
      </c>
      <c r="P1637">
        <v>48</v>
      </c>
    </row>
    <row r="1638" spans="1:16" x14ac:dyDescent="0.2">
      <c r="A1638" t="s">
        <v>341</v>
      </c>
      <c r="B1638" t="s">
        <v>417</v>
      </c>
      <c r="C1638" t="s">
        <v>146</v>
      </c>
      <c r="D1638" t="s">
        <v>384</v>
      </c>
      <c r="E1638">
        <v>3143</v>
      </c>
      <c r="F1638">
        <v>1227</v>
      </c>
      <c r="G1638">
        <v>123.26</v>
      </c>
      <c r="H1638">
        <v>1675</v>
      </c>
      <c r="I1638">
        <v>17920</v>
      </c>
      <c r="J1638">
        <v>142.30000000000001</v>
      </c>
      <c r="K1638">
        <v>119.85</v>
      </c>
      <c r="L1638">
        <v>467</v>
      </c>
      <c r="M1638">
        <v>2103</v>
      </c>
      <c r="N1638">
        <v>304</v>
      </c>
      <c r="O1638">
        <v>237</v>
      </c>
      <c r="P1638">
        <v>32</v>
      </c>
    </row>
    <row r="1639" spans="1:16" x14ac:dyDescent="0.2">
      <c r="A1639" t="s">
        <v>341</v>
      </c>
      <c r="B1639" t="s">
        <v>417</v>
      </c>
      <c r="C1639" t="s">
        <v>147</v>
      </c>
      <c r="D1639" t="s">
        <v>384</v>
      </c>
      <c r="E1639">
        <v>827</v>
      </c>
      <c r="F1639">
        <v>85</v>
      </c>
      <c r="G1639">
        <v>91.99</v>
      </c>
      <c r="H1639">
        <v>373</v>
      </c>
      <c r="I1639">
        <v>4289</v>
      </c>
      <c r="J1639">
        <v>110.39</v>
      </c>
      <c r="K1639">
        <v>94.44</v>
      </c>
      <c r="L1639">
        <v>117</v>
      </c>
      <c r="M1639">
        <v>396</v>
      </c>
      <c r="N1639">
        <v>123</v>
      </c>
      <c r="O1639">
        <v>164</v>
      </c>
      <c r="P1639">
        <v>27</v>
      </c>
    </row>
    <row r="1640" spans="1:16" x14ac:dyDescent="0.2">
      <c r="A1640" t="s">
        <v>341</v>
      </c>
      <c r="B1640" t="s">
        <v>417</v>
      </c>
      <c r="C1640" t="s">
        <v>148</v>
      </c>
      <c r="D1640" t="s">
        <v>384</v>
      </c>
      <c r="E1640">
        <v>669</v>
      </c>
      <c r="F1640">
        <v>329</v>
      </c>
      <c r="G1640">
        <v>132.03</v>
      </c>
      <c r="H1640">
        <v>269</v>
      </c>
      <c r="I1640">
        <v>3464</v>
      </c>
      <c r="J1640">
        <v>170.32</v>
      </c>
      <c r="K1640">
        <v>149.07</v>
      </c>
      <c r="L1640">
        <v>157</v>
      </c>
      <c r="M1640">
        <v>395</v>
      </c>
      <c r="N1640">
        <v>88</v>
      </c>
      <c r="O1640">
        <v>26</v>
      </c>
      <c r="P1640">
        <v>3</v>
      </c>
    </row>
    <row r="1641" spans="1:16" x14ac:dyDescent="0.2">
      <c r="A1641" t="s">
        <v>341</v>
      </c>
      <c r="B1641" t="s">
        <v>417</v>
      </c>
      <c r="C1641" t="s">
        <v>149</v>
      </c>
      <c r="D1641" t="s">
        <v>384</v>
      </c>
      <c r="E1641">
        <v>418</v>
      </c>
      <c r="F1641">
        <v>36</v>
      </c>
      <c r="G1641">
        <v>78.61</v>
      </c>
      <c r="H1641">
        <v>258</v>
      </c>
      <c r="I1641">
        <v>2612</v>
      </c>
      <c r="J1641">
        <v>93.67</v>
      </c>
      <c r="K1641">
        <v>104.61</v>
      </c>
      <c r="L1641">
        <v>32</v>
      </c>
      <c r="M1641">
        <v>164</v>
      </c>
      <c r="N1641">
        <v>57</v>
      </c>
      <c r="O1641">
        <v>130</v>
      </c>
      <c r="P1641">
        <v>35</v>
      </c>
    </row>
    <row r="1642" spans="1:16" x14ac:dyDescent="0.2">
      <c r="A1642" t="s">
        <v>341</v>
      </c>
      <c r="B1642" t="s">
        <v>417</v>
      </c>
      <c r="C1642" t="s">
        <v>150</v>
      </c>
      <c r="D1642" t="s">
        <v>384</v>
      </c>
      <c r="E1642">
        <v>4098</v>
      </c>
      <c r="F1642">
        <v>1227</v>
      </c>
      <c r="G1642">
        <v>106.94</v>
      </c>
      <c r="H1642">
        <v>1895</v>
      </c>
      <c r="I1642">
        <v>19573</v>
      </c>
      <c r="J1642">
        <v>137</v>
      </c>
      <c r="K1642">
        <v>123.32</v>
      </c>
      <c r="L1642">
        <v>654</v>
      </c>
      <c r="M1642">
        <v>2304</v>
      </c>
      <c r="N1642">
        <v>460</v>
      </c>
      <c r="O1642">
        <v>597</v>
      </c>
      <c r="P1642">
        <v>83</v>
      </c>
    </row>
    <row r="1643" spans="1:16" x14ac:dyDescent="0.2">
      <c r="A1643" t="s">
        <v>341</v>
      </c>
      <c r="B1643" t="s">
        <v>417</v>
      </c>
      <c r="C1643" t="s">
        <v>360</v>
      </c>
      <c r="D1643" t="s">
        <v>384</v>
      </c>
      <c r="E1643">
        <v>6</v>
      </c>
      <c r="F1643">
        <v>1</v>
      </c>
      <c r="G1643">
        <v>91.17</v>
      </c>
      <c r="I1643">
        <v>4</v>
      </c>
      <c r="K1643">
        <v>1</v>
      </c>
      <c r="M1643">
        <v>2</v>
      </c>
      <c r="N1643">
        <v>3</v>
      </c>
      <c r="O1643">
        <v>1</v>
      </c>
    </row>
    <row r="1644" spans="1:16" x14ac:dyDescent="0.2">
      <c r="A1644" t="s">
        <v>341</v>
      </c>
      <c r="B1644" t="s">
        <v>417</v>
      </c>
      <c r="C1644" t="s">
        <v>151</v>
      </c>
      <c r="D1644" t="s">
        <v>384</v>
      </c>
      <c r="E1644">
        <v>390</v>
      </c>
      <c r="F1644">
        <v>9</v>
      </c>
      <c r="G1644">
        <v>77.45</v>
      </c>
      <c r="H1644">
        <v>197</v>
      </c>
      <c r="I1644">
        <v>2047</v>
      </c>
      <c r="J1644">
        <v>87.08</v>
      </c>
      <c r="K1644">
        <v>82.62</v>
      </c>
      <c r="L1644">
        <v>45</v>
      </c>
      <c r="M1644">
        <v>227</v>
      </c>
      <c r="N1644">
        <v>76</v>
      </c>
      <c r="O1644">
        <v>39</v>
      </c>
      <c r="P1644">
        <v>3</v>
      </c>
    </row>
    <row r="1645" spans="1:16" x14ac:dyDescent="0.2">
      <c r="A1645" t="s">
        <v>341</v>
      </c>
      <c r="B1645" t="s">
        <v>417</v>
      </c>
      <c r="C1645" t="s">
        <v>869</v>
      </c>
      <c r="D1645" t="s">
        <v>384</v>
      </c>
      <c r="I1645">
        <v>1</v>
      </c>
      <c r="K1645">
        <v>2</v>
      </c>
    </row>
    <row r="1646" spans="1:16" x14ac:dyDescent="0.2">
      <c r="A1646" t="s">
        <v>341</v>
      </c>
      <c r="B1646" t="s">
        <v>417</v>
      </c>
      <c r="C1646" t="s">
        <v>152</v>
      </c>
      <c r="D1646" t="s">
        <v>384</v>
      </c>
      <c r="E1646">
        <v>4474</v>
      </c>
      <c r="F1646">
        <v>1290</v>
      </c>
      <c r="G1646">
        <v>96.44</v>
      </c>
      <c r="H1646">
        <v>1961</v>
      </c>
      <c r="I1646">
        <v>21058</v>
      </c>
      <c r="J1646">
        <v>130.94999999999999</v>
      </c>
      <c r="K1646">
        <v>125.93</v>
      </c>
      <c r="L1646">
        <v>548</v>
      </c>
      <c r="M1646">
        <v>2949</v>
      </c>
      <c r="N1646">
        <v>713</v>
      </c>
      <c r="O1646">
        <v>216</v>
      </c>
      <c r="P1646">
        <v>48</v>
      </c>
    </row>
    <row r="1647" spans="1:16" x14ac:dyDescent="0.2">
      <c r="A1647" t="s">
        <v>341</v>
      </c>
      <c r="B1647" t="s">
        <v>417</v>
      </c>
      <c r="C1647" t="s">
        <v>858</v>
      </c>
      <c r="D1647" t="s">
        <v>384</v>
      </c>
      <c r="E1647">
        <v>7065</v>
      </c>
      <c r="F1647">
        <v>5438</v>
      </c>
      <c r="G1647">
        <v>201</v>
      </c>
      <c r="H1647">
        <v>5</v>
      </c>
      <c r="I1647">
        <v>32</v>
      </c>
      <c r="J1647">
        <v>244</v>
      </c>
      <c r="K1647">
        <v>184.16</v>
      </c>
      <c r="L1647">
        <v>2</v>
      </c>
      <c r="M1647">
        <v>6866</v>
      </c>
      <c r="N1647">
        <v>163</v>
      </c>
      <c r="O1647">
        <v>30</v>
      </c>
      <c r="P1647">
        <v>4</v>
      </c>
    </row>
    <row r="1648" spans="1:16" x14ac:dyDescent="0.2">
      <c r="A1648" t="s">
        <v>341</v>
      </c>
      <c r="B1648" t="s">
        <v>417</v>
      </c>
      <c r="C1648" t="s">
        <v>386</v>
      </c>
      <c r="D1648" t="s">
        <v>384</v>
      </c>
      <c r="E1648">
        <v>31</v>
      </c>
      <c r="F1648">
        <v>31</v>
      </c>
      <c r="G1648">
        <v>268.39</v>
      </c>
      <c r="O1648">
        <v>31</v>
      </c>
    </row>
    <row r="1649" spans="1:16" x14ac:dyDescent="0.2">
      <c r="A1649" t="s">
        <v>341</v>
      </c>
      <c r="B1649" t="s">
        <v>417</v>
      </c>
      <c r="C1649" t="s">
        <v>389</v>
      </c>
      <c r="D1649" t="s">
        <v>384</v>
      </c>
      <c r="I1649">
        <v>456</v>
      </c>
      <c r="K1649">
        <v>104.4</v>
      </c>
    </row>
    <row r="1650" spans="1:16" x14ac:dyDescent="0.2">
      <c r="A1650" t="s">
        <v>341</v>
      </c>
      <c r="B1650" t="s">
        <v>417</v>
      </c>
      <c r="C1650" t="s">
        <v>815</v>
      </c>
      <c r="D1650" t="s">
        <v>384</v>
      </c>
      <c r="H1650">
        <v>11</v>
      </c>
      <c r="I1650">
        <v>424</v>
      </c>
      <c r="J1650">
        <v>141.55000000000001</v>
      </c>
      <c r="K1650">
        <v>63.83</v>
      </c>
    </row>
    <row r="1651" spans="1:16" x14ac:dyDescent="0.2">
      <c r="A1651" t="s">
        <v>341</v>
      </c>
      <c r="B1651" t="s">
        <v>417</v>
      </c>
      <c r="C1651" t="s">
        <v>856</v>
      </c>
      <c r="D1651" t="s">
        <v>384</v>
      </c>
      <c r="H1651">
        <v>9</v>
      </c>
      <c r="I1651">
        <v>132</v>
      </c>
      <c r="J1651">
        <v>65.11</v>
      </c>
      <c r="K1651">
        <v>115.97</v>
      </c>
    </row>
    <row r="1652" spans="1:16" x14ac:dyDescent="0.2">
      <c r="A1652" t="s">
        <v>341</v>
      </c>
      <c r="B1652" t="s">
        <v>417</v>
      </c>
      <c r="C1652" t="s">
        <v>859</v>
      </c>
      <c r="D1652" t="s">
        <v>384</v>
      </c>
      <c r="I1652">
        <v>1</v>
      </c>
      <c r="K1652">
        <v>236</v>
      </c>
    </row>
    <row r="1653" spans="1:16" x14ac:dyDescent="0.2">
      <c r="A1653" t="s">
        <v>341</v>
      </c>
      <c r="B1653" t="s">
        <v>417</v>
      </c>
      <c r="C1653" t="s">
        <v>385</v>
      </c>
      <c r="D1653" t="s">
        <v>384</v>
      </c>
      <c r="E1653">
        <v>83</v>
      </c>
      <c r="F1653">
        <v>75</v>
      </c>
      <c r="G1653">
        <v>176.37</v>
      </c>
      <c r="M1653">
        <v>1</v>
      </c>
      <c r="N1653">
        <v>1</v>
      </c>
      <c r="O1653">
        <v>79</v>
      </c>
      <c r="P1653">
        <v>2</v>
      </c>
    </row>
    <row r="1654" spans="1:16" x14ac:dyDescent="0.2">
      <c r="A1654" t="s">
        <v>341</v>
      </c>
      <c r="B1654" t="s">
        <v>417</v>
      </c>
      <c r="C1654" t="s">
        <v>387</v>
      </c>
      <c r="D1654" t="s">
        <v>384</v>
      </c>
      <c r="E1654">
        <v>76</v>
      </c>
      <c r="F1654">
        <v>37</v>
      </c>
      <c r="G1654">
        <v>155.05000000000001</v>
      </c>
      <c r="I1654">
        <v>1</v>
      </c>
      <c r="K1654">
        <v>74</v>
      </c>
      <c r="O1654">
        <v>75</v>
      </c>
      <c r="P1654">
        <v>1</v>
      </c>
    </row>
    <row r="1655" spans="1:16" x14ac:dyDescent="0.2">
      <c r="A1655" t="s">
        <v>341</v>
      </c>
      <c r="B1655" t="s">
        <v>417</v>
      </c>
      <c r="C1655" t="s">
        <v>388</v>
      </c>
      <c r="D1655" t="s">
        <v>384</v>
      </c>
      <c r="E1655">
        <v>39</v>
      </c>
      <c r="F1655">
        <v>33</v>
      </c>
      <c r="G1655">
        <v>242.87</v>
      </c>
      <c r="H1655">
        <v>3</v>
      </c>
      <c r="I1655">
        <v>3</v>
      </c>
      <c r="J1655">
        <v>182.67</v>
      </c>
      <c r="K1655">
        <v>182.67</v>
      </c>
      <c r="N1655">
        <v>1</v>
      </c>
      <c r="O1655">
        <v>36</v>
      </c>
      <c r="P1655">
        <v>2</v>
      </c>
    </row>
    <row r="1656" spans="1:16" x14ac:dyDescent="0.2">
      <c r="A1656" t="s">
        <v>341</v>
      </c>
      <c r="B1656" t="s">
        <v>417</v>
      </c>
      <c r="C1656" t="s">
        <v>153</v>
      </c>
      <c r="D1656" t="s">
        <v>384</v>
      </c>
      <c r="E1656">
        <v>1397</v>
      </c>
      <c r="F1656">
        <v>540</v>
      </c>
      <c r="G1656">
        <v>129.38999999999999</v>
      </c>
      <c r="H1656">
        <v>920</v>
      </c>
      <c r="I1656">
        <v>9560</v>
      </c>
      <c r="J1656">
        <v>123.74</v>
      </c>
      <c r="K1656">
        <v>118.45</v>
      </c>
      <c r="L1656">
        <v>167</v>
      </c>
      <c r="M1656">
        <v>892</v>
      </c>
      <c r="N1656">
        <v>151</v>
      </c>
      <c r="O1656">
        <v>102</v>
      </c>
      <c r="P1656">
        <v>85</v>
      </c>
    </row>
    <row r="1657" spans="1:16" x14ac:dyDescent="0.2">
      <c r="A1657" t="s">
        <v>341</v>
      </c>
      <c r="B1657" t="s">
        <v>417</v>
      </c>
      <c r="C1657" t="s">
        <v>78</v>
      </c>
      <c r="D1657" t="s">
        <v>384</v>
      </c>
      <c r="E1657">
        <v>272</v>
      </c>
      <c r="F1657">
        <v>22</v>
      </c>
      <c r="G1657">
        <v>83.36</v>
      </c>
      <c r="H1657">
        <v>150</v>
      </c>
      <c r="I1657">
        <v>1277</v>
      </c>
      <c r="J1657">
        <v>78.319999999999993</v>
      </c>
      <c r="K1657">
        <v>79.040000000000006</v>
      </c>
      <c r="L1657">
        <v>25</v>
      </c>
      <c r="M1657">
        <v>175</v>
      </c>
      <c r="N1657">
        <v>42</v>
      </c>
      <c r="O1657">
        <v>29</v>
      </c>
      <c r="P1657">
        <v>1</v>
      </c>
    </row>
    <row r="1658" spans="1:16" x14ac:dyDescent="0.2">
      <c r="A1658" t="s">
        <v>341</v>
      </c>
      <c r="B1658" t="s">
        <v>417</v>
      </c>
      <c r="C1658" t="s">
        <v>154</v>
      </c>
      <c r="D1658" t="s">
        <v>384</v>
      </c>
      <c r="E1658">
        <v>453</v>
      </c>
      <c r="F1658">
        <v>8</v>
      </c>
      <c r="G1658">
        <v>72.37</v>
      </c>
      <c r="H1658">
        <v>259</v>
      </c>
      <c r="I1658">
        <v>2672</v>
      </c>
      <c r="J1658">
        <v>82</v>
      </c>
      <c r="K1658">
        <v>83.24</v>
      </c>
      <c r="L1658">
        <v>58</v>
      </c>
      <c r="M1658">
        <v>276</v>
      </c>
      <c r="N1658">
        <v>81</v>
      </c>
      <c r="O1658">
        <v>35</v>
      </c>
      <c r="P1658">
        <v>3</v>
      </c>
    </row>
    <row r="1659" spans="1:16" x14ac:dyDescent="0.2">
      <c r="A1659" t="s">
        <v>341</v>
      </c>
      <c r="B1659" t="s">
        <v>417</v>
      </c>
      <c r="C1659" t="s">
        <v>155</v>
      </c>
      <c r="D1659" t="s">
        <v>384</v>
      </c>
      <c r="E1659">
        <v>363</v>
      </c>
      <c r="F1659">
        <v>21</v>
      </c>
      <c r="G1659">
        <v>78.56</v>
      </c>
      <c r="H1659">
        <v>186</v>
      </c>
      <c r="I1659">
        <v>2054</v>
      </c>
      <c r="J1659">
        <v>89.2</v>
      </c>
      <c r="K1659">
        <v>88.17</v>
      </c>
      <c r="L1659">
        <v>47</v>
      </c>
      <c r="M1659">
        <v>198</v>
      </c>
      <c r="N1659">
        <v>90</v>
      </c>
      <c r="O1659">
        <v>25</v>
      </c>
      <c r="P1659">
        <v>3</v>
      </c>
    </row>
    <row r="1660" spans="1:16" x14ac:dyDescent="0.2">
      <c r="A1660" t="s">
        <v>341</v>
      </c>
      <c r="B1660" t="s">
        <v>417</v>
      </c>
      <c r="C1660" t="s">
        <v>156</v>
      </c>
      <c r="D1660" t="s">
        <v>384</v>
      </c>
      <c r="E1660">
        <v>746</v>
      </c>
      <c r="F1660">
        <v>21</v>
      </c>
      <c r="G1660">
        <v>75.569999999999993</v>
      </c>
      <c r="H1660">
        <v>336</v>
      </c>
      <c r="I1660">
        <v>3872</v>
      </c>
      <c r="J1660">
        <v>93.18</v>
      </c>
      <c r="K1660">
        <v>87.14</v>
      </c>
      <c r="L1660">
        <v>101</v>
      </c>
      <c r="M1660">
        <v>459</v>
      </c>
      <c r="N1660">
        <v>60</v>
      </c>
      <c r="O1660">
        <v>107</v>
      </c>
      <c r="P1660">
        <v>19</v>
      </c>
    </row>
    <row r="1661" spans="1:16" x14ac:dyDescent="0.2">
      <c r="A1661" t="s">
        <v>341</v>
      </c>
      <c r="B1661" t="s">
        <v>417</v>
      </c>
      <c r="C1661" t="s">
        <v>361</v>
      </c>
      <c r="D1661" t="s">
        <v>384</v>
      </c>
      <c r="E1661">
        <v>376</v>
      </c>
      <c r="F1661">
        <v>18</v>
      </c>
      <c r="G1661">
        <v>74.290000000000006</v>
      </c>
      <c r="H1661">
        <v>147</v>
      </c>
      <c r="I1661">
        <v>1456</v>
      </c>
      <c r="J1661">
        <v>85.84</v>
      </c>
      <c r="K1661">
        <v>74.77</v>
      </c>
      <c r="L1661">
        <v>56</v>
      </c>
      <c r="M1661">
        <v>222</v>
      </c>
      <c r="N1661">
        <v>48</v>
      </c>
      <c r="O1661">
        <v>29</v>
      </c>
      <c r="P1661">
        <v>21</v>
      </c>
    </row>
    <row r="1662" spans="1:16" x14ac:dyDescent="0.2">
      <c r="A1662" t="s">
        <v>341</v>
      </c>
      <c r="B1662" t="s">
        <v>417</v>
      </c>
      <c r="C1662" t="s">
        <v>157</v>
      </c>
      <c r="D1662" t="s">
        <v>384</v>
      </c>
      <c r="E1662">
        <v>514</v>
      </c>
      <c r="F1662">
        <v>31</v>
      </c>
      <c r="G1662">
        <v>79.19</v>
      </c>
      <c r="H1662">
        <v>282</v>
      </c>
      <c r="I1662">
        <v>3147</v>
      </c>
      <c r="J1662">
        <v>92.56</v>
      </c>
      <c r="K1662">
        <v>91.62</v>
      </c>
      <c r="L1662">
        <v>72</v>
      </c>
      <c r="M1662">
        <v>279</v>
      </c>
      <c r="N1662">
        <v>37</v>
      </c>
      <c r="O1662">
        <v>109</v>
      </c>
      <c r="P1662">
        <v>17</v>
      </c>
    </row>
    <row r="1663" spans="1:16" x14ac:dyDescent="0.2">
      <c r="A1663" t="s">
        <v>341</v>
      </c>
      <c r="B1663" t="s">
        <v>417</v>
      </c>
      <c r="C1663" t="s">
        <v>158</v>
      </c>
      <c r="D1663" t="s">
        <v>384</v>
      </c>
      <c r="E1663">
        <v>407</v>
      </c>
      <c r="F1663">
        <v>39</v>
      </c>
      <c r="G1663">
        <v>89.97</v>
      </c>
      <c r="H1663">
        <v>269</v>
      </c>
      <c r="I1663">
        <v>3206</v>
      </c>
      <c r="J1663">
        <v>108.01</v>
      </c>
      <c r="K1663">
        <v>101.67</v>
      </c>
      <c r="L1663">
        <v>67</v>
      </c>
      <c r="M1663">
        <v>196</v>
      </c>
      <c r="N1663">
        <v>85</v>
      </c>
      <c r="O1663">
        <v>58</v>
      </c>
      <c r="P1663">
        <v>1</v>
      </c>
    </row>
    <row r="1664" spans="1:16" x14ac:dyDescent="0.2">
      <c r="A1664" t="s">
        <v>341</v>
      </c>
      <c r="B1664" t="s">
        <v>417</v>
      </c>
      <c r="C1664" t="s">
        <v>159</v>
      </c>
      <c r="D1664" t="s">
        <v>384</v>
      </c>
      <c r="E1664">
        <v>241</v>
      </c>
      <c r="F1664">
        <v>32</v>
      </c>
      <c r="G1664">
        <v>89.4</v>
      </c>
      <c r="H1664">
        <v>129</v>
      </c>
      <c r="I1664">
        <v>1492</v>
      </c>
      <c r="J1664">
        <v>80.84</v>
      </c>
      <c r="K1664">
        <v>83.19</v>
      </c>
      <c r="L1664">
        <v>31</v>
      </c>
      <c r="M1664">
        <v>120</v>
      </c>
      <c r="N1664">
        <v>55</v>
      </c>
      <c r="O1664">
        <v>27</v>
      </c>
      <c r="P1664">
        <v>8</v>
      </c>
    </row>
    <row r="1665" spans="1:16" x14ac:dyDescent="0.2">
      <c r="A1665" t="s">
        <v>341</v>
      </c>
      <c r="B1665" t="s">
        <v>417</v>
      </c>
      <c r="C1665" t="s">
        <v>160</v>
      </c>
      <c r="D1665" t="s">
        <v>384</v>
      </c>
      <c r="E1665">
        <v>254</v>
      </c>
      <c r="F1665">
        <v>17</v>
      </c>
      <c r="G1665">
        <v>83.58</v>
      </c>
      <c r="H1665">
        <v>108</v>
      </c>
      <c r="I1665">
        <v>1407</v>
      </c>
      <c r="J1665">
        <v>83.82</v>
      </c>
      <c r="K1665">
        <v>84.8</v>
      </c>
      <c r="L1665">
        <v>51</v>
      </c>
      <c r="M1665">
        <v>128</v>
      </c>
      <c r="N1665">
        <v>39</v>
      </c>
      <c r="O1665">
        <v>34</v>
      </c>
      <c r="P1665">
        <v>2</v>
      </c>
    </row>
    <row r="1666" spans="1:16" x14ac:dyDescent="0.2">
      <c r="A1666" t="s">
        <v>341</v>
      </c>
      <c r="B1666" t="s">
        <v>417</v>
      </c>
      <c r="C1666" t="s">
        <v>390</v>
      </c>
      <c r="D1666" t="s">
        <v>384</v>
      </c>
      <c r="E1666">
        <v>251510</v>
      </c>
      <c r="F1666">
        <v>46885</v>
      </c>
      <c r="G1666">
        <v>88.57</v>
      </c>
      <c r="H1666">
        <v>283</v>
      </c>
      <c r="I1666">
        <v>2794</v>
      </c>
      <c r="J1666">
        <v>90.43</v>
      </c>
      <c r="K1666">
        <v>91.42</v>
      </c>
      <c r="L1666">
        <v>8259</v>
      </c>
      <c r="M1666">
        <v>170610</v>
      </c>
      <c r="N1666">
        <v>67999</v>
      </c>
      <c r="O1666">
        <v>4642</v>
      </c>
    </row>
    <row r="1667" spans="1:16" x14ac:dyDescent="0.2">
      <c r="A1667" t="s">
        <v>341</v>
      </c>
      <c r="B1667" t="s">
        <v>346</v>
      </c>
      <c r="C1667" t="s">
        <v>112</v>
      </c>
      <c r="D1667" t="s">
        <v>384</v>
      </c>
      <c r="E1667">
        <v>724</v>
      </c>
      <c r="F1667">
        <v>40</v>
      </c>
      <c r="G1667">
        <v>73.91</v>
      </c>
      <c r="H1667">
        <v>420</v>
      </c>
      <c r="I1667">
        <v>4312</v>
      </c>
      <c r="J1667">
        <v>95.02</v>
      </c>
      <c r="K1667">
        <v>91.87</v>
      </c>
      <c r="L1667">
        <v>108</v>
      </c>
      <c r="M1667">
        <v>347</v>
      </c>
      <c r="N1667">
        <v>134</v>
      </c>
      <c r="O1667">
        <v>126</v>
      </c>
      <c r="P1667">
        <v>9</v>
      </c>
    </row>
    <row r="1668" spans="1:16" x14ac:dyDescent="0.2">
      <c r="A1668" t="s">
        <v>341</v>
      </c>
      <c r="B1668" t="s">
        <v>346</v>
      </c>
      <c r="C1668" t="s">
        <v>86</v>
      </c>
      <c r="D1668" t="s">
        <v>384</v>
      </c>
      <c r="E1668">
        <v>3656</v>
      </c>
      <c r="F1668">
        <v>1260</v>
      </c>
      <c r="G1668">
        <v>115.95</v>
      </c>
      <c r="H1668">
        <v>2284</v>
      </c>
      <c r="I1668">
        <v>21225</v>
      </c>
      <c r="J1668">
        <v>127.52</v>
      </c>
      <c r="K1668">
        <v>118.67</v>
      </c>
      <c r="L1668">
        <v>560</v>
      </c>
      <c r="M1668">
        <v>1664</v>
      </c>
      <c r="N1668">
        <v>394</v>
      </c>
      <c r="O1668">
        <v>860</v>
      </c>
      <c r="P1668">
        <v>178</v>
      </c>
    </row>
    <row r="1669" spans="1:16" x14ac:dyDescent="0.2">
      <c r="A1669" t="s">
        <v>341</v>
      </c>
      <c r="B1669" t="s">
        <v>346</v>
      </c>
      <c r="C1669" t="s">
        <v>89</v>
      </c>
      <c r="D1669" t="s">
        <v>384</v>
      </c>
      <c r="E1669">
        <v>3380</v>
      </c>
      <c r="F1669">
        <v>1048</v>
      </c>
      <c r="G1669">
        <v>107.71</v>
      </c>
      <c r="H1669">
        <v>1480</v>
      </c>
      <c r="I1669">
        <v>15705</v>
      </c>
      <c r="J1669">
        <v>139.68</v>
      </c>
      <c r="K1669">
        <v>129.96</v>
      </c>
      <c r="L1669">
        <v>564</v>
      </c>
      <c r="M1669">
        <v>2106</v>
      </c>
      <c r="N1669">
        <v>316</v>
      </c>
      <c r="O1669">
        <v>345</v>
      </c>
      <c r="P1669">
        <v>49</v>
      </c>
    </row>
    <row r="1670" spans="1:16" x14ac:dyDescent="0.2">
      <c r="A1670" t="s">
        <v>341</v>
      </c>
      <c r="B1670" t="s">
        <v>346</v>
      </c>
      <c r="C1670" t="s">
        <v>135</v>
      </c>
      <c r="D1670" t="s">
        <v>384</v>
      </c>
      <c r="E1670">
        <v>1414</v>
      </c>
      <c r="F1670">
        <v>317</v>
      </c>
      <c r="G1670">
        <v>96.53</v>
      </c>
      <c r="H1670">
        <v>429</v>
      </c>
      <c r="I1670">
        <v>7296</v>
      </c>
      <c r="J1670">
        <v>100.68</v>
      </c>
      <c r="K1670">
        <v>93.03</v>
      </c>
      <c r="L1670">
        <v>211</v>
      </c>
      <c r="M1670">
        <v>922</v>
      </c>
      <c r="N1670">
        <v>139</v>
      </c>
      <c r="O1670">
        <v>118</v>
      </c>
      <c r="P1670">
        <v>24</v>
      </c>
    </row>
    <row r="1671" spans="1:16" x14ac:dyDescent="0.2">
      <c r="A1671" t="s">
        <v>341</v>
      </c>
      <c r="B1671" t="s">
        <v>346</v>
      </c>
      <c r="C1671" t="s">
        <v>78</v>
      </c>
      <c r="D1671" t="s">
        <v>384</v>
      </c>
      <c r="E1671">
        <v>271</v>
      </c>
      <c r="F1671">
        <v>22</v>
      </c>
      <c r="G1671">
        <v>83.31</v>
      </c>
      <c r="H1671">
        <v>150</v>
      </c>
      <c r="I1671">
        <v>1268</v>
      </c>
      <c r="J1671">
        <v>78.319999999999993</v>
      </c>
      <c r="K1671">
        <v>79.42</v>
      </c>
      <c r="L1671">
        <v>25</v>
      </c>
      <c r="M1671">
        <v>175</v>
      </c>
      <c r="N1671">
        <v>42</v>
      </c>
      <c r="O1671">
        <v>28</v>
      </c>
      <c r="P1671">
        <v>1</v>
      </c>
    </row>
    <row r="1672" spans="1:16" x14ac:dyDescent="0.2">
      <c r="A1672" t="s">
        <v>341</v>
      </c>
      <c r="B1672" t="s">
        <v>346</v>
      </c>
      <c r="C1672" t="s">
        <v>156</v>
      </c>
      <c r="D1672" t="s">
        <v>384</v>
      </c>
      <c r="E1672">
        <v>746</v>
      </c>
      <c r="F1672">
        <v>21</v>
      </c>
      <c r="G1672">
        <v>75.569999999999993</v>
      </c>
      <c r="H1672">
        <v>336</v>
      </c>
      <c r="I1672">
        <v>3867</v>
      </c>
      <c r="J1672">
        <v>93.18</v>
      </c>
      <c r="K1672">
        <v>87.19</v>
      </c>
      <c r="L1672">
        <v>101</v>
      </c>
      <c r="M1672">
        <v>459</v>
      </c>
      <c r="N1672">
        <v>60</v>
      </c>
      <c r="O1672">
        <v>107</v>
      </c>
      <c r="P1672">
        <v>19</v>
      </c>
    </row>
    <row r="1673" spans="1:16" x14ac:dyDescent="0.2">
      <c r="A1673" t="s">
        <v>341</v>
      </c>
      <c r="B1673" t="s">
        <v>347</v>
      </c>
      <c r="C1673" t="s">
        <v>86</v>
      </c>
      <c r="D1673" t="s">
        <v>384</v>
      </c>
      <c r="E1673">
        <v>1416</v>
      </c>
      <c r="F1673">
        <v>490</v>
      </c>
      <c r="G1673">
        <v>100.11</v>
      </c>
      <c r="H1673">
        <v>716</v>
      </c>
      <c r="I1673">
        <v>8603</v>
      </c>
      <c r="J1673">
        <v>127.04</v>
      </c>
      <c r="K1673">
        <v>103.56</v>
      </c>
      <c r="L1673">
        <v>498</v>
      </c>
      <c r="M1673">
        <v>292</v>
      </c>
      <c r="N1673">
        <v>19</v>
      </c>
      <c r="O1673">
        <v>539</v>
      </c>
      <c r="P1673">
        <v>68</v>
      </c>
    </row>
    <row r="1674" spans="1:16" x14ac:dyDescent="0.2">
      <c r="A1674" t="s">
        <v>341</v>
      </c>
      <c r="B1674" t="s">
        <v>347</v>
      </c>
      <c r="C1674" t="s">
        <v>130</v>
      </c>
      <c r="D1674" t="s">
        <v>384</v>
      </c>
      <c r="E1674">
        <v>1921</v>
      </c>
      <c r="F1674">
        <v>823</v>
      </c>
      <c r="G1674">
        <v>114.07</v>
      </c>
      <c r="H1674">
        <v>1062</v>
      </c>
      <c r="I1674">
        <v>12748</v>
      </c>
      <c r="J1674">
        <v>126.49</v>
      </c>
      <c r="K1674">
        <v>83.13</v>
      </c>
      <c r="L1674">
        <v>681</v>
      </c>
      <c r="M1674">
        <v>558</v>
      </c>
      <c r="N1674">
        <v>32</v>
      </c>
      <c r="O1674">
        <v>582</v>
      </c>
      <c r="P1674">
        <v>68</v>
      </c>
    </row>
    <row r="1675" spans="1:16" x14ac:dyDescent="0.2">
      <c r="A1675" t="s">
        <v>341</v>
      </c>
      <c r="B1675" t="s">
        <v>348</v>
      </c>
      <c r="C1675" t="s">
        <v>120</v>
      </c>
      <c r="D1675" t="s">
        <v>384</v>
      </c>
      <c r="E1675">
        <v>8</v>
      </c>
      <c r="F1675">
        <v>2</v>
      </c>
      <c r="G1675">
        <v>67.75</v>
      </c>
      <c r="H1675">
        <v>6</v>
      </c>
      <c r="I1675">
        <v>40</v>
      </c>
      <c r="J1675">
        <v>167.67</v>
      </c>
      <c r="K1675">
        <v>106.48</v>
      </c>
      <c r="M1675">
        <v>4</v>
      </c>
      <c r="N1675">
        <v>3</v>
      </c>
      <c r="P1675">
        <v>1</v>
      </c>
    </row>
    <row r="1676" spans="1:16" x14ac:dyDescent="0.2">
      <c r="A1676" t="s">
        <v>341</v>
      </c>
      <c r="B1676" t="s">
        <v>349</v>
      </c>
      <c r="C1676" t="s">
        <v>649</v>
      </c>
      <c r="D1676" t="s">
        <v>384</v>
      </c>
      <c r="E1676">
        <v>15</v>
      </c>
      <c r="F1676">
        <v>6</v>
      </c>
      <c r="G1676">
        <v>176.27</v>
      </c>
      <c r="H1676">
        <v>4</v>
      </c>
      <c r="I1676">
        <v>55</v>
      </c>
      <c r="J1676">
        <v>818.25</v>
      </c>
      <c r="K1676">
        <v>366.13</v>
      </c>
      <c r="M1676">
        <v>13</v>
      </c>
      <c r="N1676">
        <v>2</v>
      </c>
    </row>
    <row r="1677" spans="1:16" x14ac:dyDescent="0.2">
      <c r="A1677" t="s">
        <v>341</v>
      </c>
      <c r="B1677" t="s">
        <v>349</v>
      </c>
      <c r="C1677" t="s">
        <v>120</v>
      </c>
      <c r="D1677" t="s">
        <v>384</v>
      </c>
      <c r="E1677">
        <v>1</v>
      </c>
      <c r="G1677">
        <v>11</v>
      </c>
      <c r="I1677">
        <v>2</v>
      </c>
      <c r="K1677">
        <v>433</v>
      </c>
      <c r="M1677">
        <v>1</v>
      </c>
    </row>
    <row r="1678" spans="1:16" x14ac:dyDescent="0.2">
      <c r="A1678" t="s">
        <v>341</v>
      </c>
      <c r="B1678" t="s">
        <v>349</v>
      </c>
      <c r="C1678" t="s">
        <v>390</v>
      </c>
      <c r="D1678" t="s">
        <v>384</v>
      </c>
      <c r="E1678">
        <v>7</v>
      </c>
      <c r="F1678">
        <v>2</v>
      </c>
      <c r="G1678">
        <v>103.29</v>
      </c>
      <c r="I1678">
        <v>1</v>
      </c>
      <c r="K1678">
        <v>1</v>
      </c>
      <c r="M1678">
        <v>7</v>
      </c>
    </row>
    <row r="1679" spans="1:16" x14ac:dyDescent="0.2">
      <c r="A1679" t="s">
        <v>341</v>
      </c>
      <c r="B1679" t="s">
        <v>346</v>
      </c>
      <c r="C1679" t="s">
        <v>110</v>
      </c>
      <c r="D1679" t="s">
        <v>384</v>
      </c>
      <c r="E1679">
        <v>1709</v>
      </c>
      <c r="F1679">
        <v>510</v>
      </c>
      <c r="G1679">
        <v>104.8</v>
      </c>
      <c r="H1679">
        <v>1202</v>
      </c>
      <c r="I1679">
        <v>12619</v>
      </c>
      <c r="J1679">
        <v>86.31</v>
      </c>
      <c r="K1679">
        <v>73.150000000000006</v>
      </c>
      <c r="L1679">
        <v>176</v>
      </c>
      <c r="M1679">
        <v>831</v>
      </c>
      <c r="N1679">
        <v>362</v>
      </c>
      <c r="O1679">
        <v>179</v>
      </c>
      <c r="P1679">
        <v>161</v>
      </c>
    </row>
    <row r="1680" spans="1:16" x14ac:dyDescent="0.2">
      <c r="A1680" t="s">
        <v>341</v>
      </c>
      <c r="B1680" t="s">
        <v>346</v>
      </c>
      <c r="C1680" t="s">
        <v>113</v>
      </c>
      <c r="D1680" t="s">
        <v>384</v>
      </c>
      <c r="E1680">
        <v>806</v>
      </c>
      <c r="F1680">
        <v>23</v>
      </c>
      <c r="G1680">
        <v>67.75</v>
      </c>
      <c r="H1680">
        <v>442</v>
      </c>
      <c r="I1680">
        <v>4633</v>
      </c>
      <c r="J1680">
        <v>84.28</v>
      </c>
      <c r="K1680">
        <v>88.72</v>
      </c>
      <c r="L1680">
        <v>109</v>
      </c>
      <c r="M1680">
        <v>501</v>
      </c>
      <c r="N1680">
        <v>47</v>
      </c>
      <c r="O1680">
        <v>132</v>
      </c>
      <c r="P1680">
        <v>17</v>
      </c>
    </row>
    <row r="1681" spans="1:16" x14ac:dyDescent="0.2">
      <c r="A1681" t="s">
        <v>341</v>
      </c>
      <c r="B1681" t="s">
        <v>346</v>
      </c>
      <c r="C1681" t="s">
        <v>114</v>
      </c>
      <c r="D1681" t="s">
        <v>384</v>
      </c>
      <c r="E1681">
        <v>329</v>
      </c>
      <c r="F1681">
        <v>14</v>
      </c>
      <c r="G1681">
        <v>69.739999999999995</v>
      </c>
      <c r="H1681">
        <v>255</v>
      </c>
      <c r="I1681">
        <v>2628</v>
      </c>
      <c r="J1681">
        <v>94.68</v>
      </c>
      <c r="K1681">
        <v>86.58</v>
      </c>
      <c r="L1681">
        <v>40</v>
      </c>
      <c r="M1681">
        <v>219</v>
      </c>
      <c r="N1681">
        <v>33</v>
      </c>
      <c r="O1681">
        <v>25</v>
      </c>
      <c r="P1681">
        <v>12</v>
      </c>
    </row>
    <row r="1682" spans="1:16" x14ac:dyDescent="0.2">
      <c r="A1682" t="s">
        <v>341</v>
      </c>
      <c r="B1682" t="s">
        <v>346</v>
      </c>
      <c r="C1682" t="s">
        <v>115</v>
      </c>
      <c r="D1682" t="s">
        <v>384</v>
      </c>
      <c r="E1682">
        <v>650</v>
      </c>
      <c r="F1682">
        <v>141</v>
      </c>
      <c r="G1682">
        <v>122.06</v>
      </c>
      <c r="H1682">
        <v>515</v>
      </c>
      <c r="I1682">
        <v>4696</v>
      </c>
      <c r="J1682">
        <v>117.56</v>
      </c>
      <c r="K1682">
        <v>127.14</v>
      </c>
      <c r="L1682">
        <v>95</v>
      </c>
      <c r="M1682">
        <v>304</v>
      </c>
      <c r="N1682">
        <v>135</v>
      </c>
      <c r="O1682">
        <v>110</v>
      </c>
      <c r="P1682">
        <v>6</v>
      </c>
    </row>
    <row r="1683" spans="1:16" x14ac:dyDescent="0.2">
      <c r="A1683" t="s">
        <v>341</v>
      </c>
      <c r="B1683" t="s">
        <v>346</v>
      </c>
      <c r="C1683" t="s">
        <v>124</v>
      </c>
      <c r="D1683" t="s">
        <v>384</v>
      </c>
      <c r="E1683">
        <v>772</v>
      </c>
      <c r="F1683">
        <v>268</v>
      </c>
      <c r="G1683">
        <v>138.96</v>
      </c>
      <c r="H1683">
        <v>414</v>
      </c>
      <c r="I1683">
        <v>5081</v>
      </c>
      <c r="J1683">
        <v>172.15</v>
      </c>
      <c r="K1683">
        <v>121.01</v>
      </c>
      <c r="L1683">
        <v>80</v>
      </c>
      <c r="M1683">
        <v>491</v>
      </c>
      <c r="N1683">
        <v>141</v>
      </c>
      <c r="O1683">
        <v>34</v>
      </c>
      <c r="P1683">
        <v>26</v>
      </c>
    </row>
    <row r="1684" spans="1:16" x14ac:dyDescent="0.2">
      <c r="A1684" t="s">
        <v>341</v>
      </c>
      <c r="B1684" t="s">
        <v>346</v>
      </c>
      <c r="C1684" t="s">
        <v>126</v>
      </c>
      <c r="D1684" t="s">
        <v>384</v>
      </c>
      <c r="E1684">
        <v>1290</v>
      </c>
      <c r="F1684">
        <v>342</v>
      </c>
      <c r="G1684">
        <v>98.3</v>
      </c>
      <c r="H1684">
        <v>903</v>
      </c>
      <c r="I1684">
        <v>8963</v>
      </c>
      <c r="J1684">
        <v>128.29</v>
      </c>
      <c r="K1684">
        <v>126.25</v>
      </c>
      <c r="L1684">
        <v>250</v>
      </c>
      <c r="M1684">
        <v>819</v>
      </c>
      <c r="N1684">
        <v>131</v>
      </c>
      <c r="O1684">
        <v>84</v>
      </c>
      <c r="P1684">
        <v>4</v>
      </c>
    </row>
    <row r="1685" spans="1:16" x14ac:dyDescent="0.2">
      <c r="A1685" t="s">
        <v>341</v>
      </c>
      <c r="B1685" t="s">
        <v>346</v>
      </c>
      <c r="C1685" t="s">
        <v>140</v>
      </c>
      <c r="D1685" t="s">
        <v>384</v>
      </c>
      <c r="E1685">
        <v>2466</v>
      </c>
      <c r="F1685">
        <v>721</v>
      </c>
      <c r="G1685">
        <v>100.21</v>
      </c>
      <c r="H1685">
        <v>704</v>
      </c>
      <c r="I1685">
        <v>11631</v>
      </c>
      <c r="J1685">
        <v>127.13</v>
      </c>
      <c r="K1685">
        <v>116.24</v>
      </c>
      <c r="L1685">
        <v>306</v>
      </c>
      <c r="M1685">
        <v>1528</v>
      </c>
      <c r="N1685">
        <v>292</v>
      </c>
      <c r="O1685">
        <v>259</v>
      </c>
      <c r="P1685">
        <v>81</v>
      </c>
    </row>
    <row r="1686" spans="1:16" x14ac:dyDescent="0.2">
      <c r="A1686" t="s">
        <v>341</v>
      </c>
      <c r="B1686" t="s">
        <v>346</v>
      </c>
      <c r="C1686" t="s">
        <v>143</v>
      </c>
      <c r="D1686" t="s">
        <v>384</v>
      </c>
      <c r="E1686">
        <v>1559</v>
      </c>
      <c r="F1686">
        <v>484</v>
      </c>
      <c r="G1686">
        <v>106.72</v>
      </c>
      <c r="H1686">
        <v>551</v>
      </c>
      <c r="I1686">
        <v>6375</v>
      </c>
      <c r="J1686">
        <v>132.56</v>
      </c>
      <c r="K1686">
        <v>133.87</v>
      </c>
      <c r="L1686">
        <v>271</v>
      </c>
      <c r="M1686">
        <v>1024</v>
      </c>
      <c r="N1686">
        <v>120</v>
      </c>
      <c r="O1686">
        <v>88</v>
      </c>
      <c r="P1686">
        <v>56</v>
      </c>
    </row>
    <row r="1687" spans="1:16" x14ac:dyDescent="0.2">
      <c r="A1687" t="s">
        <v>341</v>
      </c>
      <c r="B1687" t="s">
        <v>346</v>
      </c>
      <c r="C1687" t="s">
        <v>145</v>
      </c>
      <c r="D1687" t="s">
        <v>384</v>
      </c>
      <c r="E1687">
        <v>1204</v>
      </c>
      <c r="F1687">
        <v>184</v>
      </c>
      <c r="G1687">
        <v>97.26</v>
      </c>
      <c r="H1687">
        <v>814</v>
      </c>
      <c r="I1687">
        <v>7768</v>
      </c>
      <c r="J1687">
        <v>138.12</v>
      </c>
      <c r="K1687">
        <v>137.56</v>
      </c>
      <c r="L1687">
        <v>165</v>
      </c>
      <c r="M1687">
        <v>637</v>
      </c>
      <c r="N1687">
        <v>133</v>
      </c>
      <c r="O1687">
        <v>221</v>
      </c>
      <c r="P1687">
        <v>48</v>
      </c>
    </row>
    <row r="1688" spans="1:16" x14ac:dyDescent="0.2">
      <c r="A1688" t="s">
        <v>341</v>
      </c>
      <c r="B1688" t="s">
        <v>346</v>
      </c>
      <c r="C1688" t="s">
        <v>147</v>
      </c>
      <c r="D1688" t="s">
        <v>384</v>
      </c>
      <c r="E1688">
        <v>825</v>
      </c>
      <c r="F1688">
        <v>85</v>
      </c>
      <c r="G1688">
        <v>92.1</v>
      </c>
      <c r="H1688">
        <v>372</v>
      </c>
      <c r="I1688">
        <v>4264</v>
      </c>
      <c r="J1688">
        <v>110.69</v>
      </c>
      <c r="K1688">
        <v>94.81</v>
      </c>
      <c r="L1688">
        <v>116</v>
      </c>
      <c r="M1688">
        <v>396</v>
      </c>
      <c r="N1688">
        <v>123</v>
      </c>
      <c r="O1688">
        <v>164</v>
      </c>
      <c r="P1688">
        <v>26</v>
      </c>
    </row>
    <row r="1689" spans="1:16" x14ac:dyDescent="0.2">
      <c r="A1689" t="s">
        <v>341</v>
      </c>
      <c r="B1689" t="s">
        <v>346</v>
      </c>
      <c r="C1689" t="s">
        <v>149</v>
      </c>
      <c r="D1689" t="s">
        <v>384</v>
      </c>
      <c r="E1689">
        <v>417</v>
      </c>
      <c r="F1689">
        <v>36</v>
      </c>
      <c r="G1689">
        <v>78.53</v>
      </c>
      <c r="H1689">
        <v>258</v>
      </c>
      <c r="I1689">
        <v>2474</v>
      </c>
      <c r="J1689">
        <v>93.67</v>
      </c>
      <c r="K1689">
        <v>102.23</v>
      </c>
      <c r="L1689">
        <v>32</v>
      </c>
      <c r="M1689">
        <v>163</v>
      </c>
      <c r="N1689">
        <v>57</v>
      </c>
      <c r="O1689">
        <v>130</v>
      </c>
      <c r="P1689">
        <v>35</v>
      </c>
    </row>
    <row r="1690" spans="1:16" x14ac:dyDescent="0.2">
      <c r="A1690" t="s">
        <v>341</v>
      </c>
      <c r="B1690" t="s">
        <v>346</v>
      </c>
      <c r="C1690" t="s">
        <v>360</v>
      </c>
      <c r="D1690" t="s">
        <v>384</v>
      </c>
      <c r="E1690">
        <v>6</v>
      </c>
      <c r="F1690">
        <v>1</v>
      </c>
      <c r="G1690">
        <v>91.17</v>
      </c>
      <c r="M1690">
        <v>2</v>
      </c>
      <c r="N1690">
        <v>3</v>
      </c>
      <c r="O1690">
        <v>1</v>
      </c>
    </row>
    <row r="1691" spans="1:16" x14ac:dyDescent="0.2">
      <c r="A1691" t="s">
        <v>341</v>
      </c>
      <c r="B1691" t="s">
        <v>346</v>
      </c>
      <c r="C1691" t="s">
        <v>869</v>
      </c>
      <c r="D1691" t="s">
        <v>384</v>
      </c>
      <c r="I1691">
        <v>1</v>
      </c>
      <c r="K1691">
        <v>2</v>
      </c>
    </row>
    <row r="1692" spans="1:16" x14ac:dyDescent="0.2">
      <c r="A1692" t="s">
        <v>341</v>
      </c>
      <c r="B1692" t="s">
        <v>346</v>
      </c>
      <c r="C1692" t="s">
        <v>154</v>
      </c>
      <c r="D1692" t="s">
        <v>384</v>
      </c>
      <c r="E1692">
        <v>452</v>
      </c>
      <c r="F1692">
        <v>8</v>
      </c>
      <c r="G1692">
        <v>72.47</v>
      </c>
      <c r="H1692">
        <v>257</v>
      </c>
      <c r="I1692">
        <v>2658</v>
      </c>
      <c r="J1692">
        <v>80.48</v>
      </c>
      <c r="K1692">
        <v>83.34</v>
      </c>
      <c r="L1692">
        <v>58</v>
      </c>
      <c r="M1692">
        <v>275</v>
      </c>
      <c r="N1692">
        <v>81</v>
      </c>
      <c r="O1692">
        <v>35</v>
      </c>
      <c r="P1692">
        <v>3</v>
      </c>
    </row>
    <row r="1693" spans="1:16" x14ac:dyDescent="0.2">
      <c r="A1693" t="s">
        <v>341</v>
      </c>
      <c r="B1693" t="s">
        <v>346</v>
      </c>
      <c r="C1693" t="s">
        <v>361</v>
      </c>
      <c r="D1693" t="s">
        <v>384</v>
      </c>
      <c r="E1693">
        <v>375</v>
      </c>
      <c r="F1693">
        <v>18</v>
      </c>
      <c r="G1693">
        <v>74.3</v>
      </c>
      <c r="H1693">
        <v>147</v>
      </c>
      <c r="I1693">
        <v>1452</v>
      </c>
      <c r="J1693">
        <v>85.84</v>
      </c>
      <c r="K1693">
        <v>74.91</v>
      </c>
      <c r="L1693">
        <v>56</v>
      </c>
      <c r="M1693">
        <v>221</v>
      </c>
      <c r="N1693">
        <v>48</v>
      </c>
      <c r="O1693">
        <v>29</v>
      </c>
      <c r="P1693">
        <v>21</v>
      </c>
    </row>
    <row r="1694" spans="1:16" x14ac:dyDescent="0.2">
      <c r="A1694" t="s">
        <v>341</v>
      </c>
      <c r="B1694" t="s">
        <v>346</v>
      </c>
      <c r="C1694" t="s">
        <v>158</v>
      </c>
      <c r="D1694" t="s">
        <v>384</v>
      </c>
      <c r="E1694">
        <v>407</v>
      </c>
      <c r="F1694">
        <v>39</v>
      </c>
      <c r="G1694">
        <v>89.97</v>
      </c>
      <c r="H1694">
        <v>269</v>
      </c>
      <c r="I1694">
        <v>3191</v>
      </c>
      <c r="J1694">
        <v>108.01</v>
      </c>
      <c r="K1694">
        <v>102.01</v>
      </c>
      <c r="L1694">
        <v>67</v>
      </c>
      <c r="M1694">
        <v>196</v>
      </c>
      <c r="N1694">
        <v>85</v>
      </c>
      <c r="O1694">
        <v>58</v>
      </c>
      <c r="P1694">
        <v>1</v>
      </c>
    </row>
    <row r="1695" spans="1:16" x14ac:dyDescent="0.2">
      <c r="A1695" t="s">
        <v>341</v>
      </c>
      <c r="B1695" t="s">
        <v>347</v>
      </c>
      <c r="C1695" t="s">
        <v>390</v>
      </c>
      <c r="D1695" t="s">
        <v>384</v>
      </c>
      <c r="E1695">
        <v>21196</v>
      </c>
      <c r="F1695">
        <v>3759</v>
      </c>
      <c r="G1695">
        <v>86.72</v>
      </c>
      <c r="H1695">
        <v>69</v>
      </c>
      <c r="I1695">
        <v>265</v>
      </c>
      <c r="J1695">
        <v>81.25</v>
      </c>
      <c r="K1695">
        <v>87.79</v>
      </c>
      <c r="L1695">
        <v>5921</v>
      </c>
      <c r="M1695">
        <v>11218</v>
      </c>
      <c r="N1695">
        <v>93</v>
      </c>
      <c r="O1695">
        <v>3964</v>
      </c>
    </row>
    <row r="1696" spans="1:16" x14ac:dyDescent="0.2">
      <c r="A1696" t="s">
        <v>341</v>
      </c>
      <c r="B1696" t="s">
        <v>348</v>
      </c>
      <c r="C1696" t="s">
        <v>384</v>
      </c>
      <c r="D1696" t="s">
        <v>384</v>
      </c>
      <c r="E1696">
        <v>193</v>
      </c>
      <c r="F1696">
        <v>58</v>
      </c>
      <c r="G1696">
        <v>120.39</v>
      </c>
      <c r="H1696">
        <v>70</v>
      </c>
      <c r="I1696">
        <v>1003</v>
      </c>
      <c r="J1696">
        <v>134.71</v>
      </c>
      <c r="K1696">
        <v>89.18</v>
      </c>
      <c r="L1696">
        <v>46</v>
      </c>
      <c r="M1696">
        <v>98</v>
      </c>
      <c r="N1696">
        <v>30</v>
      </c>
      <c r="O1696">
        <v>16</v>
      </c>
      <c r="P1696">
        <v>3</v>
      </c>
    </row>
    <row r="1697" spans="1:16" x14ac:dyDescent="0.2">
      <c r="A1697" t="s">
        <v>341</v>
      </c>
      <c r="B1697" t="s">
        <v>348</v>
      </c>
      <c r="C1697" t="s">
        <v>137</v>
      </c>
      <c r="D1697" t="s">
        <v>384</v>
      </c>
      <c r="E1697">
        <v>6</v>
      </c>
      <c r="F1697">
        <v>5</v>
      </c>
      <c r="G1697">
        <v>269.33</v>
      </c>
      <c r="H1697">
        <v>3</v>
      </c>
      <c r="I1697">
        <v>60</v>
      </c>
      <c r="J1697">
        <v>239.67</v>
      </c>
      <c r="K1697">
        <v>319.2</v>
      </c>
      <c r="M1697">
        <v>4</v>
      </c>
      <c r="O1697">
        <v>2</v>
      </c>
    </row>
    <row r="1698" spans="1:16" x14ac:dyDescent="0.2">
      <c r="A1698" t="s">
        <v>341</v>
      </c>
      <c r="B1698" t="s">
        <v>346</v>
      </c>
      <c r="C1698" t="s">
        <v>649</v>
      </c>
      <c r="D1698" t="s">
        <v>384</v>
      </c>
      <c r="E1698">
        <v>337715</v>
      </c>
      <c r="F1698">
        <v>75371</v>
      </c>
      <c r="G1698">
        <v>95.44</v>
      </c>
      <c r="H1698">
        <v>48046</v>
      </c>
      <c r="I1698">
        <v>535723</v>
      </c>
      <c r="J1698">
        <v>126.63</v>
      </c>
      <c r="K1698">
        <v>114.43</v>
      </c>
      <c r="L1698">
        <v>16626</v>
      </c>
      <c r="M1698">
        <v>221477</v>
      </c>
      <c r="N1698">
        <v>83242</v>
      </c>
      <c r="O1698">
        <v>13372</v>
      </c>
      <c r="P1698">
        <v>2996</v>
      </c>
    </row>
    <row r="1699" spans="1:16" x14ac:dyDescent="0.2">
      <c r="A1699" t="s">
        <v>341</v>
      </c>
      <c r="B1699" t="s">
        <v>346</v>
      </c>
      <c r="C1699" t="s">
        <v>384</v>
      </c>
      <c r="D1699" t="s">
        <v>384</v>
      </c>
      <c r="E1699">
        <v>9151</v>
      </c>
      <c r="F1699">
        <v>6012</v>
      </c>
      <c r="G1699">
        <v>178.7</v>
      </c>
      <c r="H1699">
        <v>27</v>
      </c>
      <c r="I1699">
        <v>1049</v>
      </c>
      <c r="J1699">
        <v>141.96</v>
      </c>
      <c r="K1699">
        <v>92.45</v>
      </c>
      <c r="L1699">
        <v>22</v>
      </c>
      <c r="M1699">
        <v>6971</v>
      </c>
      <c r="N1699">
        <v>1291</v>
      </c>
      <c r="O1699">
        <v>802</v>
      </c>
      <c r="P1699">
        <v>65</v>
      </c>
    </row>
    <row r="1700" spans="1:16" x14ac:dyDescent="0.2">
      <c r="A1700" t="s">
        <v>341</v>
      </c>
      <c r="B1700" t="s">
        <v>346</v>
      </c>
      <c r="C1700" t="s">
        <v>117</v>
      </c>
      <c r="D1700" t="s">
        <v>384</v>
      </c>
      <c r="E1700">
        <v>1544</v>
      </c>
      <c r="F1700">
        <v>511</v>
      </c>
      <c r="G1700">
        <v>116.51</v>
      </c>
      <c r="H1700">
        <v>761</v>
      </c>
      <c r="I1700">
        <v>7589</v>
      </c>
      <c r="J1700">
        <v>138.63999999999999</v>
      </c>
      <c r="K1700">
        <v>133.85</v>
      </c>
      <c r="L1700">
        <v>224</v>
      </c>
      <c r="M1700">
        <v>891</v>
      </c>
      <c r="N1700">
        <v>237</v>
      </c>
      <c r="O1700">
        <v>191</v>
      </c>
      <c r="P1700">
        <v>1</v>
      </c>
    </row>
    <row r="1701" spans="1:16" x14ac:dyDescent="0.2">
      <c r="A1701" t="s">
        <v>341</v>
      </c>
      <c r="B1701" t="s">
        <v>346</v>
      </c>
      <c r="C1701" t="s">
        <v>119</v>
      </c>
      <c r="D1701" t="s">
        <v>384</v>
      </c>
      <c r="E1701">
        <v>4464</v>
      </c>
      <c r="F1701">
        <v>985</v>
      </c>
      <c r="G1701">
        <v>97.19</v>
      </c>
      <c r="H1701">
        <v>2299</v>
      </c>
      <c r="I1701">
        <v>29732</v>
      </c>
      <c r="J1701">
        <v>128.13</v>
      </c>
      <c r="K1701">
        <v>119.88</v>
      </c>
      <c r="L1701">
        <v>703</v>
      </c>
      <c r="M1701">
        <v>2261</v>
      </c>
      <c r="N1701">
        <v>437</v>
      </c>
      <c r="O1701">
        <v>807</v>
      </c>
      <c r="P1701">
        <v>256</v>
      </c>
    </row>
    <row r="1702" spans="1:16" x14ac:dyDescent="0.2">
      <c r="A1702" t="s">
        <v>341</v>
      </c>
      <c r="B1702" t="s">
        <v>346</v>
      </c>
      <c r="C1702" t="s">
        <v>121</v>
      </c>
      <c r="D1702" t="s">
        <v>384</v>
      </c>
      <c r="E1702">
        <v>2450</v>
      </c>
      <c r="F1702">
        <v>596</v>
      </c>
      <c r="G1702">
        <v>100.27</v>
      </c>
      <c r="H1702">
        <v>1027</v>
      </c>
      <c r="I1702">
        <v>12489</v>
      </c>
      <c r="J1702">
        <v>122.81</v>
      </c>
      <c r="K1702">
        <v>112.4</v>
      </c>
      <c r="L1702">
        <v>409</v>
      </c>
      <c r="M1702">
        <v>1272</v>
      </c>
      <c r="N1702">
        <v>386</v>
      </c>
      <c r="O1702">
        <v>343</v>
      </c>
      <c r="P1702">
        <v>40</v>
      </c>
    </row>
    <row r="1703" spans="1:16" x14ac:dyDescent="0.2">
      <c r="A1703" t="s">
        <v>341</v>
      </c>
      <c r="B1703" t="s">
        <v>346</v>
      </c>
      <c r="C1703" t="s">
        <v>123</v>
      </c>
      <c r="D1703" t="s">
        <v>384</v>
      </c>
      <c r="E1703">
        <v>1868</v>
      </c>
      <c r="F1703">
        <v>571</v>
      </c>
      <c r="G1703">
        <v>112.23</v>
      </c>
      <c r="H1703">
        <v>899</v>
      </c>
      <c r="I1703">
        <v>8684</v>
      </c>
      <c r="J1703">
        <v>126.38</v>
      </c>
      <c r="K1703">
        <v>97.3</v>
      </c>
      <c r="L1703">
        <v>288</v>
      </c>
      <c r="M1703">
        <v>1047</v>
      </c>
      <c r="N1703">
        <v>336</v>
      </c>
      <c r="O1703">
        <v>168</v>
      </c>
      <c r="P1703">
        <v>29</v>
      </c>
    </row>
    <row r="1704" spans="1:16" x14ac:dyDescent="0.2">
      <c r="A1704" t="s">
        <v>341</v>
      </c>
      <c r="B1704" t="s">
        <v>346</v>
      </c>
      <c r="C1704" t="s">
        <v>131</v>
      </c>
      <c r="D1704" t="s">
        <v>384</v>
      </c>
      <c r="E1704">
        <v>1743</v>
      </c>
      <c r="F1704">
        <v>284</v>
      </c>
      <c r="G1704">
        <v>90.28</v>
      </c>
      <c r="H1704">
        <v>1236</v>
      </c>
      <c r="I1704">
        <v>12713</v>
      </c>
      <c r="J1704">
        <v>128.68</v>
      </c>
      <c r="K1704">
        <v>107.81</v>
      </c>
      <c r="L1704">
        <v>222</v>
      </c>
      <c r="M1704">
        <v>944</v>
      </c>
      <c r="N1704">
        <v>216</v>
      </c>
      <c r="O1704">
        <v>276</v>
      </c>
      <c r="P1704">
        <v>85</v>
      </c>
    </row>
    <row r="1705" spans="1:16" x14ac:dyDescent="0.2">
      <c r="A1705" t="s">
        <v>341</v>
      </c>
      <c r="B1705" t="s">
        <v>346</v>
      </c>
      <c r="C1705" t="s">
        <v>132</v>
      </c>
      <c r="D1705" t="s">
        <v>384</v>
      </c>
      <c r="E1705">
        <v>952</v>
      </c>
      <c r="F1705">
        <v>30</v>
      </c>
      <c r="G1705">
        <v>72.63</v>
      </c>
      <c r="H1705">
        <v>553</v>
      </c>
      <c r="I1705">
        <v>5317</v>
      </c>
      <c r="J1705">
        <v>93.15</v>
      </c>
      <c r="K1705">
        <v>87.1</v>
      </c>
      <c r="L1705">
        <v>160</v>
      </c>
      <c r="M1705">
        <v>582</v>
      </c>
      <c r="N1705">
        <v>75</v>
      </c>
      <c r="O1705">
        <v>108</v>
      </c>
      <c r="P1705">
        <v>27</v>
      </c>
    </row>
    <row r="1706" spans="1:16" x14ac:dyDescent="0.2">
      <c r="A1706" t="s">
        <v>341</v>
      </c>
      <c r="B1706" t="s">
        <v>346</v>
      </c>
      <c r="C1706" t="s">
        <v>134</v>
      </c>
      <c r="D1706" t="s">
        <v>384</v>
      </c>
      <c r="E1706">
        <v>2200</v>
      </c>
      <c r="F1706">
        <v>751</v>
      </c>
      <c r="G1706">
        <v>119.23</v>
      </c>
      <c r="H1706">
        <v>1230</v>
      </c>
      <c r="I1706">
        <v>12563</v>
      </c>
      <c r="J1706">
        <v>113.14</v>
      </c>
      <c r="K1706">
        <v>100.05</v>
      </c>
      <c r="L1706">
        <v>389</v>
      </c>
      <c r="M1706">
        <v>1210</v>
      </c>
      <c r="N1706">
        <v>149</v>
      </c>
      <c r="O1706">
        <v>370</v>
      </c>
      <c r="P1706">
        <v>82</v>
      </c>
    </row>
    <row r="1707" spans="1:16" x14ac:dyDescent="0.2">
      <c r="A1707" t="s">
        <v>341</v>
      </c>
      <c r="B1707" t="s">
        <v>346</v>
      </c>
      <c r="C1707" t="s">
        <v>136</v>
      </c>
      <c r="D1707" t="s">
        <v>384</v>
      </c>
      <c r="E1707">
        <v>375</v>
      </c>
      <c r="F1707">
        <v>16</v>
      </c>
      <c r="G1707">
        <v>76.790000000000006</v>
      </c>
      <c r="H1707">
        <v>330</v>
      </c>
      <c r="I1707">
        <v>3377</v>
      </c>
      <c r="J1707">
        <v>98.51</v>
      </c>
      <c r="K1707">
        <v>91.95</v>
      </c>
      <c r="L1707">
        <v>48</v>
      </c>
      <c r="M1707">
        <v>188</v>
      </c>
      <c r="N1707">
        <v>23</v>
      </c>
      <c r="O1707">
        <v>102</v>
      </c>
      <c r="P1707">
        <v>14</v>
      </c>
    </row>
    <row r="1708" spans="1:16" x14ac:dyDescent="0.2">
      <c r="A1708" t="s">
        <v>341</v>
      </c>
      <c r="B1708" t="s">
        <v>346</v>
      </c>
      <c r="C1708" t="s">
        <v>137</v>
      </c>
      <c r="D1708" t="s">
        <v>384</v>
      </c>
      <c r="E1708">
        <v>2422</v>
      </c>
      <c r="F1708">
        <v>802</v>
      </c>
      <c r="G1708">
        <v>105.11</v>
      </c>
      <c r="H1708">
        <v>1512</v>
      </c>
      <c r="I1708">
        <v>17268</v>
      </c>
      <c r="J1708">
        <v>139.57</v>
      </c>
      <c r="K1708">
        <v>122.03</v>
      </c>
      <c r="L1708">
        <v>275</v>
      </c>
      <c r="M1708">
        <v>1389</v>
      </c>
      <c r="N1708">
        <v>312</v>
      </c>
      <c r="O1708">
        <v>413</v>
      </c>
      <c r="P1708">
        <v>33</v>
      </c>
    </row>
    <row r="1709" spans="1:16" x14ac:dyDescent="0.2">
      <c r="A1709" t="s">
        <v>341</v>
      </c>
      <c r="B1709" t="s">
        <v>346</v>
      </c>
      <c r="C1709" t="s">
        <v>144</v>
      </c>
      <c r="D1709" t="s">
        <v>384</v>
      </c>
      <c r="E1709">
        <v>5079</v>
      </c>
      <c r="F1709">
        <v>1702</v>
      </c>
      <c r="G1709">
        <v>107.78</v>
      </c>
      <c r="H1709">
        <v>2275</v>
      </c>
      <c r="I1709">
        <v>28420</v>
      </c>
      <c r="J1709">
        <v>148.80000000000001</v>
      </c>
      <c r="K1709">
        <v>123.64</v>
      </c>
      <c r="L1709">
        <v>828</v>
      </c>
      <c r="M1709">
        <v>3353</v>
      </c>
      <c r="N1709">
        <v>637</v>
      </c>
      <c r="O1709">
        <v>220</v>
      </c>
      <c r="P1709">
        <v>41</v>
      </c>
    </row>
    <row r="1710" spans="1:16" x14ac:dyDescent="0.2">
      <c r="A1710" t="s">
        <v>341</v>
      </c>
      <c r="B1710" t="s">
        <v>346</v>
      </c>
      <c r="C1710" t="s">
        <v>146</v>
      </c>
      <c r="D1710" t="s">
        <v>384</v>
      </c>
      <c r="E1710">
        <v>3137</v>
      </c>
      <c r="F1710">
        <v>1225</v>
      </c>
      <c r="G1710">
        <v>123.26</v>
      </c>
      <c r="H1710">
        <v>1670</v>
      </c>
      <c r="I1710">
        <v>17843</v>
      </c>
      <c r="J1710">
        <v>142.72</v>
      </c>
      <c r="K1710">
        <v>120.06</v>
      </c>
      <c r="L1710">
        <v>467</v>
      </c>
      <c r="M1710">
        <v>2100</v>
      </c>
      <c r="N1710">
        <v>302</v>
      </c>
      <c r="O1710">
        <v>236</v>
      </c>
      <c r="P1710">
        <v>32</v>
      </c>
    </row>
    <row r="1711" spans="1:16" x14ac:dyDescent="0.2">
      <c r="A1711" t="s">
        <v>341</v>
      </c>
      <c r="B1711" t="s">
        <v>346</v>
      </c>
      <c r="C1711" t="s">
        <v>148</v>
      </c>
      <c r="D1711" t="s">
        <v>384</v>
      </c>
      <c r="E1711">
        <v>669</v>
      </c>
      <c r="F1711">
        <v>329</v>
      </c>
      <c r="G1711">
        <v>132.03</v>
      </c>
      <c r="H1711">
        <v>268</v>
      </c>
      <c r="I1711">
        <v>3434</v>
      </c>
      <c r="J1711">
        <v>170.96</v>
      </c>
      <c r="K1711">
        <v>149.84</v>
      </c>
      <c r="L1711">
        <v>157</v>
      </c>
      <c r="M1711">
        <v>395</v>
      </c>
      <c r="N1711">
        <v>88</v>
      </c>
      <c r="O1711">
        <v>26</v>
      </c>
      <c r="P1711">
        <v>3</v>
      </c>
    </row>
    <row r="1712" spans="1:16" x14ac:dyDescent="0.2">
      <c r="A1712" t="s">
        <v>341</v>
      </c>
      <c r="B1712" t="s">
        <v>346</v>
      </c>
      <c r="C1712" t="s">
        <v>151</v>
      </c>
      <c r="D1712" t="s">
        <v>384</v>
      </c>
      <c r="E1712">
        <v>390</v>
      </c>
      <c r="F1712">
        <v>9</v>
      </c>
      <c r="G1712">
        <v>77.45</v>
      </c>
      <c r="H1712">
        <v>196</v>
      </c>
      <c r="I1712">
        <v>2032</v>
      </c>
      <c r="J1712">
        <v>87.52</v>
      </c>
      <c r="K1712">
        <v>83.04</v>
      </c>
      <c r="L1712">
        <v>45</v>
      </c>
      <c r="M1712">
        <v>227</v>
      </c>
      <c r="N1712">
        <v>76</v>
      </c>
      <c r="O1712">
        <v>39</v>
      </c>
      <c r="P1712">
        <v>3</v>
      </c>
    </row>
    <row r="1713" spans="1:16" x14ac:dyDescent="0.2">
      <c r="A1713" t="s">
        <v>341</v>
      </c>
      <c r="B1713" t="s">
        <v>346</v>
      </c>
      <c r="C1713" t="s">
        <v>159</v>
      </c>
      <c r="D1713" t="s">
        <v>384</v>
      </c>
      <c r="E1713">
        <v>241</v>
      </c>
      <c r="F1713">
        <v>32</v>
      </c>
      <c r="G1713">
        <v>89.4</v>
      </c>
      <c r="H1713">
        <v>128</v>
      </c>
      <c r="I1713">
        <v>1486</v>
      </c>
      <c r="J1713">
        <v>81.47</v>
      </c>
      <c r="K1713">
        <v>83.44</v>
      </c>
      <c r="L1713">
        <v>31</v>
      </c>
      <c r="M1713">
        <v>120</v>
      </c>
      <c r="N1713">
        <v>55</v>
      </c>
      <c r="O1713">
        <v>27</v>
      </c>
      <c r="P1713">
        <v>8</v>
      </c>
    </row>
    <row r="1714" spans="1:16" x14ac:dyDescent="0.2">
      <c r="A1714" t="s">
        <v>341</v>
      </c>
      <c r="B1714" t="s">
        <v>347</v>
      </c>
      <c r="C1714" t="s">
        <v>384</v>
      </c>
      <c r="D1714" t="s">
        <v>384</v>
      </c>
      <c r="E1714">
        <v>54</v>
      </c>
      <c r="F1714">
        <v>43</v>
      </c>
      <c r="G1714">
        <v>245.56</v>
      </c>
      <c r="H1714">
        <v>124</v>
      </c>
      <c r="I1714">
        <v>1545</v>
      </c>
      <c r="J1714">
        <v>16.21</v>
      </c>
      <c r="K1714">
        <v>35.840000000000003</v>
      </c>
      <c r="L1714">
        <v>4</v>
      </c>
      <c r="M1714">
        <v>30</v>
      </c>
      <c r="N1714">
        <v>4</v>
      </c>
      <c r="O1714">
        <v>10</v>
      </c>
      <c r="P1714">
        <v>6</v>
      </c>
    </row>
    <row r="1715" spans="1:16" x14ac:dyDescent="0.2">
      <c r="A1715" t="s">
        <v>341</v>
      </c>
      <c r="B1715" t="s">
        <v>347</v>
      </c>
      <c r="C1715" t="s">
        <v>134</v>
      </c>
      <c r="D1715" t="s">
        <v>384</v>
      </c>
      <c r="E1715">
        <v>2742</v>
      </c>
      <c r="F1715">
        <v>1345</v>
      </c>
      <c r="G1715">
        <v>127.14</v>
      </c>
      <c r="H1715">
        <v>979</v>
      </c>
      <c r="I1715">
        <v>12270</v>
      </c>
      <c r="J1715">
        <v>127.45</v>
      </c>
      <c r="K1715">
        <v>106.79</v>
      </c>
      <c r="L1715">
        <v>752</v>
      </c>
      <c r="M1715">
        <v>719</v>
      </c>
      <c r="N1715">
        <v>38</v>
      </c>
      <c r="O1715">
        <v>961</v>
      </c>
      <c r="P1715">
        <v>272</v>
      </c>
    </row>
    <row r="1716" spans="1:16" x14ac:dyDescent="0.2">
      <c r="A1716" t="s">
        <v>341</v>
      </c>
      <c r="B1716" t="s">
        <v>349</v>
      </c>
      <c r="C1716" t="s">
        <v>384</v>
      </c>
      <c r="D1716" t="s">
        <v>384</v>
      </c>
      <c r="E1716">
        <v>5</v>
      </c>
      <c r="F1716">
        <v>2</v>
      </c>
      <c r="G1716">
        <v>164</v>
      </c>
      <c r="H1716">
        <v>4</v>
      </c>
      <c r="I1716">
        <v>32</v>
      </c>
      <c r="J1716">
        <v>818.25</v>
      </c>
      <c r="K1716">
        <v>314.63</v>
      </c>
      <c r="M1716">
        <v>4</v>
      </c>
      <c r="N1716">
        <v>1</v>
      </c>
    </row>
    <row r="1717" spans="1:16" x14ac:dyDescent="0.2">
      <c r="A1717" t="s">
        <v>341</v>
      </c>
      <c r="B1717" t="s">
        <v>349</v>
      </c>
      <c r="C1717" t="s">
        <v>152</v>
      </c>
      <c r="D1717" t="s">
        <v>384</v>
      </c>
      <c r="E1717">
        <v>2</v>
      </c>
      <c r="F1717">
        <v>2</v>
      </c>
      <c r="G1717">
        <v>545</v>
      </c>
      <c r="I1717">
        <v>20</v>
      </c>
      <c r="K1717">
        <v>460.1</v>
      </c>
      <c r="M1717">
        <v>1</v>
      </c>
      <c r="N1717">
        <v>1</v>
      </c>
    </row>
    <row r="1718" spans="1:16" x14ac:dyDescent="0.2">
      <c r="A1718" t="s">
        <v>341</v>
      </c>
      <c r="B1718" t="s">
        <v>346</v>
      </c>
      <c r="C1718" t="s">
        <v>109</v>
      </c>
      <c r="D1718" t="s">
        <v>384</v>
      </c>
      <c r="E1718">
        <v>1098</v>
      </c>
      <c r="F1718">
        <v>190</v>
      </c>
      <c r="G1718">
        <v>92.46</v>
      </c>
      <c r="H1718">
        <v>575</v>
      </c>
      <c r="I1718">
        <v>5215</v>
      </c>
      <c r="J1718">
        <v>126.05</v>
      </c>
      <c r="K1718">
        <v>107.03</v>
      </c>
      <c r="L1718">
        <v>145</v>
      </c>
      <c r="M1718">
        <v>675</v>
      </c>
      <c r="N1718">
        <v>218</v>
      </c>
      <c r="O1718">
        <v>29</v>
      </c>
      <c r="P1718">
        <v>31</v>
      </c>
    </row>
    <row r="1719" spans="1:16" x14ac:dyDescent="0.2">
      <c r="A1719" t="s">
        <v>341</v>
      </c>
      <c r="B1719" t="s">
        <v>346</v>
      </c>
      <c r="C1719" t="s">
        <v>111</v>
      </c>
      <c r="D1719" t="s">
        <v>384</v>
      </c>
      <c r="E1719">
        <v>914</v>
      </c>
      <c r="F1719">
        <v>244</v>
      </c>
      <c r="G1719">
        <v>111.42</v>
      </c>
      <c r="H1719">
        <v>611</v>
      </c>
      <c r="I1719">
        <v>5977</v>
      </c>
      <c r="J1719">
        <v>134.66999999999999</v>
      </c>
      <c r="K1719">
        <v>101.46</v>
      </c>
      <c r="L1719">
        <v>123</v>
      </c>
      <c r="M1719">
        <v>503</v>
      </c>
      <c r="N1719">
        <v>145</v>
      </c>
      <c r="O1719">
        <v>122</v>
      </c>
      <c r="P1719">
        <v>21</v>
      </c>
    </row>
    <row r="1720" spans="1:16" x14ac:dyDescent="0.2">
      <c r="A1720" t="s">
        <v>341</v>
      </c>
      <c r="B1720" t="s">
        <v>346</v>
      </c>
      <c r="C1720" t="s">
        <v>116</v>
      </c>
      <c r="D1720" t="s">
        <v>384</v>
      </c>
      <c r="E1720">
        <v>898</v>
      </c>
      <c r="F1720">
        <v>97</v>
      </c>
      <c r="G1720">
        <v>78.86</v>
      </c>
      <c r="H1720">
        <v>341</v>
      </c>
      <c r="I1720">
        <v>3712</v>
      </c>
      <c r="J1720">
        <v>105.12</v>
      </c>
      <c r="K1720">
        <v>102.22</v>
      </c>
      <c r="L1720">
        <v>176</v>
      </c>
      <c r="M1720">
        <v>468</v>
      </c>
      <c r="N1720">
        <v>104</v>
      </c>
      <c r="O1720">
        <v>133</v>
      </c>
      <c r="P1720">
        <v>17</v>
      </c>
    </row>
    <row r="1721" spans="1:16" x14ac:dyDescent="0.2">
      <c r="A1721" t="s">
        <v>341</v>
      </c>
      <c r="B1721" t="s">
        <v>346</v>
      </c>
      <c r="C1721" t="s">
        <v>118</v>
      </c>
      <c r="D1721" t="s">
        <v>384</v>
      </c>
      <c r="E1721">
        <v>4795</v>
      </c>
      <c r="F1721">
        <v>1363</v>
      </c>
      <c r="G1721">
        <v>99.61</v>
      </c>
      <c r="H1721">
        <v>1471</v>
      </c>
      <c r="I1721">
        <v>18908</v>
      </c>
      <c r="J1721">
        <v>133.35</v>
      </c>
      <c r="K1721">
        <v>121</v>
      </c>
      <c r="L1721">
        <v>617</v>
      </c>
      <c r="M1721">
        <v>3338</v>
      </c>
      <c r="N1721">
        <v>425</v>
      </c>
      <c r="O1721">
        <v>350</v>
      </c>
      <c r="P1721">
        <v>65</v>
      </c>
    </row>
    <row r="1722" spans="1:16" x14ac:dyDescent="0.2">
      <c r="A1722" t="s">
        <v>341</v>
      </c>
      <c r="B1722" t="s">
        <v>346</v>
      </c>
      <c r="C1722" t="s">
        <v>120</v>
      </c>
      <c r="D1722" t="s">
        <v>384</v>
      </c>
      <c r="E1722">
        <v>6445</v>
      </c>
      <c r="F1722">
        <v>1888</v>
      </c>
      <c r="G1722">
        <v>112.83</v>
      </c>
      <c r="H1722">
        <v>2623</v>
      </c>
      <c r="I1722">
        <v>31667</v>
      </c>
      <c r="J1722">
        <v>130.25</v>
      </c>
      <c r="K1722">
        <v>112.23</v>
      </c>
      <c r="L1722">
        <v>754</v>
      </c>
      <c r="M1722">
        <v>3056</v>
      </c>
      <c r="N1722">
        <v>1149</v>
      </c>
      <c r="O1722">
        <v>1125</v>
      </c>
      <c r="P1722">
        <v>361</v>
      </c>
    </row>
    <row r="1723" spans="1:16" x14ac:dyDescent="0.2">
      <c r="A1723" t="s">
        <v>341</v>
      </c>
      <c r="B1723" t="s">
        <v>346</v>
      </c>
      <c r="C1723" t="s">
        <v>80</v>
      </c>
      <c r="D1723" t="s">
        <v>384</v>
      </c>
      <c r="E1723">
        <v>2107</v>
      </c>
      <c r="F1723">
        <v>673</v>
      </c>
      <c r="G1723">
        <v>117.47</v>
      </c>
      <c r="H1723">
        <v>1122</v>
      </c>
      <c r="I1723">
        <v>13036</v>
      </c>
      <c r="J1723">
        <v>132.79</v>
      </c>
      <c r="K1723">
        <v>124.67</v>
      </c>
      <c r="L1723">
        <v>280</v>
      </c>
      <c r="M1723">
        <v>1054</v>
      </c>
      <c r="N1723">
        <v>356</v>
      </c>
      <c r="O1723">
        <v>355</v>
      </c>
      <c r="P1723">
        <v>62</v>
      </c>
    </row>
    <row r="1724" spans="1:16" x14ac:dyDescent="0.2">
      <c r="A1724" t="s">
        <v>341</v>
      </c>
      <c r="B1724" t="s">
        <v>346</v>
      </c>
      <c r="C1724" t="s">
        <v>122</v>
      </c>
      <c r="D1724" t="s">
        <v>384</v>
      </c>
      <c r="E1724">
        <v>1121</v>
      </c>
      <c r="F1724">
        <v>189</v>
      </c>
      <c r="G1724">
        <v>86.78</v>
      </c>
      <c r="H1724">
        <v>580</v>
      </c>
      <c r="I1724">
        <v>7026</v>
      </c>
      <c r="J1724">
        <v>132.51</v>
      </c>
      <c r="K1724">
        <v>126.86</v>
      </c>
      <c r="L1724">
        <v>177</v>
      </c>
      <c r="M1724">
        <v>582</v>
      </c>
      <c r="N1724">
        <v>192</v>
      </c>
      <c r="O1724">
        <v>118</v>
      </c>
      <c r="P1724">
        <v>52</v>
      </c>
    </row>
    <row r="1725" spans="1:16" x14ac:dyDescent="0.2">
      <c r="A1725" t="s">
        <v>341</v>
      </c>
      <c r="B1725" t="s">
        <v>346</v>
      </c>
      <c r="C1725" t="s">
        <v>125</v>
      </c>
      <c r="D1725" t="s">
        <v>384</v>
      </c>
      <c r="E1725">
        <v>2775</v>
      </c>
      <c r="F1725">
        <v>814</v>
      </c>
      <c r="G1725">
        <v>104.25</v>
      </c>
      <c r="H1725">
        <v>1248</v>
      </c>
      <c r="I1725">
        <v>12134</v>
      </c>
      <c r="J1725">
        <v>140.88999999999999</v>
      </c>
      <c r="K1725">
        <v>126.73</v>
      </c>
      <c r="L1725">
        <v>501</v>
      </c>
      <c r="M1725">
        <v>1396</v>
      </c>
      <c r="N1725">
        <v>292</v>
      </c>
      <c r="O1725">
        <v>470</v>
      </c>
      <c r="P1725">
        <v>116</v>
      </c>
    </row>
    <row r="1726" spans="1:16" x14ac:dyDescent="0.2">
      <c r="A1726" t="s">
        <v>341</v>
      </c>
      <c r="B1726" t="s">
        <v>346</v>
      </c>
      <c r="C1726" t="s">
        <v>127</v>
      </c>
      <c r="D1726" t="s">
        <v>384</v>
      </c>
      <c r="E1726">
        <v>1959</v>
      </c>
      <c r="F1726">
        <v>763</v>
      </c>
      <c r="G1726">
        <v>124.89</v>
      </c>
      <c r="H1726">
        <v>881</v>
      </c>
      <c r="I1726">
        <v>9273</v>
      </c>
      <c r="J1726">
        <v>153.01</v>
      </c>
      <c r="K1726">
        <v>120.43</v>
      </c>
      <c r="L1726">
        <v>218</v>
      </c>
      <c r="M1726">
        <v>1172</v>
      </c>
      <c r="N1726">
        <v>208</v>
      </c>
      <c r="O1726">
        <v>169</v>
      </c>
      <c r="P1726">
        <v>192</v>
      </c>
    </row>
    <row r="1727" spans="1:16" x14ac:dyDescent="0.2">
      <c r="A1727" t="s">
        <v>341</v>
      </c>
      <c r="B1727" t="s">
        <v>346</v>
      </c>
      <c r="C1727" t="s">
        <v>128</v>
      </c>
      <c r="D1727" t="s">
        <v>384</v>
      </c>
      <c r="E1727">
        <v>1061</v>
      </c>
      <c r="F1727">
        <v>116</v>
      </c>
      <c r="G1727">
        <v>83.17</v>
      </c>
      <c r="H1727">
        <v>433</v>
      </c>
      <c r="I1727">
        <v>4530</v>
      </c>
      <c r="J1727">
        <v>97.09</v>
      </c>
      <c r="K1727">
        <v>93.5</v>
      </c>
      <c r="L1727">
        <v>209</v>
      </c>
      <c r="M1727">
        <v>592</v>
      </c>
      <c r="N1727">
        <v>138</v>
      </c>
      <c r="O1727">
        <v>99</v>
      </c>
      <c r="P1727">
        <v>23</v>
      </c>
    </row>
    <row r="1728" spans="1:16" x14ac:dyDescent="0.2">
      <c r="A1728" t="s">
        <v>341</v>
      </c>
      <c r="B1728" t="s">
        <v>346</v>
      </c>
      <c r="C1728" t="s">
        <v>129</v>
      </c>
      <c r="D1728" t="s">
        <v>384</v>
      </c>
      <c r="E1728">
        <v>1463</v>
      </c>
      <c r="F1728">
        <v>384</v>
      </c>
      <c r="G1728">
        <v>106.91</v>
      </c>
      <c r="H1728">
        <v>777</v>
      </c>
      <c r="I1728">
        <v>8707</v>
      </c>
      <c r="J1728">
        <v>127.76</v>
      </c>
      <c r="K1728">
        <v>120.46</v>
      </c>
      <c r="L1728">
        <v>215</v>
      </c>
      <c r="M1728">
        <v>773</v>
      </c>
      <c r="N1728">
        <v>291</v>
      </c>
      <c r="O1728">
        <v>175</v>
      </c>
      <c r="P1728">
        <v>9</v>
      </c>
    </row>
    <row r="1729" spans="1:16" x14ac:dyDescent="0.2">
      <c r="A1729" t="s">
        <v>341</v>
      </c>
      <c r="B1729" t="s">
        <v>346</v>
      </c>
      <c r="C1729" t="s">
        <v>130</v>
      </c>
      <c r="D1729" t="s">
        <v>384</v>
      </c>
      <c r="E1729">
        <v>1771</v>
      </c>
      <c r="F1729">
        <v>630</v>
      </c>
      <c r="G1729">
        <v>119.97</v>
      </c>
      <c r="H1729">
        <v>856</v>
      </c>
      <c r="I1729">
        <v>8844</v>
      </c>
      <c r="J1729">
        <v>137.44999999999999</v>
      </c>
      <c r="K1729">
        <v>116.19</v>
      </c>
      <c r="L1729">
        <v>365</v>
      </c>
      <c r="M1729">
        <v>975</v>
      </c>
      <c r="N1729">
        <v>162</v>
      </c>
      <c r="O1729">
        <v>250</v>
      </c>
      <c r="P1729">
        <v>19</v>
      </c>
    </row>
    <row r="1730" spans="1:16" x14ac:dyDescent="0.2">
      <c r="A1730" t="s">
        <v>341</v>
      </c>
      <c r="B1730" t="s">
        <v>346</v>
      </c>
      <c r="C1730" t="s">
        <v>133</v>
      </c>
      <c r="D1730" t="s">
        <v>384</v>
      </c>
      <c r="E1730">
        <v>1906</v>
      </c>
      <c r="F1730">
        <v>614</v>
      </c>
      <c r="G1730">
        <v>112.49</v>
      </c>
      <c r="H1730">
        <v>802</v>
      </c>
      <c r="I1730">
        <v>8858</v>
      </c>
      <c r="J1730">
        <v>129.80000000000001</v>
      </c>
      <c r="K1730">
        <v>123.86</v>
      </c>
      <c r="L1730">
        <v>238</v>
      </c>
      <c r="M1730">
        <v>1065</v>
      </c>
      <c r="N1730">
        <v>301</v>
      </c>
      <c r="O1730">
        <v>218</v>
      </c>
      <c r="P1730">
        <v>84</v>
      </c>
    </row>
    <row r="1731" spans="1:16" x14ac:dyDescent="0.2">
      <c r="A1731" t="s">
        <v>341</v>
      </c>
      <c r="B1731" t="s">
        <v>346</v>
      </c>
      <c r="C1731" t="s">
        <v>138</v>
      </c>
      <c r="D1731" t="s">
        <v>384</v>
      </c>
      <c r="E1731">
        <v>1168</v>
      </c>
      <c r="F1731">
        <v>401</v>
      </c>
      <c r="G1731">
        <v>116.66</v>
      </c>
      <c r="H1731">
        <v>527</v>
      </c>
      <c r="I1731">
        <v>7552</v>
      </c>
      <c r="J1731">
        <v>143.97</v>
      </c>
      <c r="K1731">
        <v>135.28</v>
      </c>
      <c r="L1731">
        <v>180</v>
      </c>
      <c r="M1731">
        <v>645</v>
      </c>
      <c r="N1731">
        <v>165</v>
      </c>
      <c r="O1731">
        <v>133</v>
      </c>
      <c r="P1731">
        <v>45</v>
      </c>
    </row>
    <row r="1732" spans="1:16" x14ac:dyDescent="0.2">
      <c r="A1732" t="s">
        <v>341</v>
      </c>
      <c r="B1732" t="s">
        <v>346</v>
      </c>
      <c r="C1732" t="s">
        <v>139</v>
      </c>
      <c r="D1732" t="s">
        <v>384</v>
      </c>
      <c r="E1732">
        <v>1998</v>
      </c>
      <c r="F1732">
        <v>545</v>
      </c>
      <c r="G1732">
        <v>107.12</v>
      </c>
      <c r="H1732">
        <v>830</v>
      </c>
      <c r="I1732">
        <v>9246</v>
      </c>
      <c r="J1732">
        <v>132.53</v>
      </c>
      <c r="K1732">
        <v>131.72999999999999</v>
      </c>
      <c r="L1732">
        <v>302</v>
      </c>
      <c r="M1732">
        <v>1114</v>
      </c>
      <c r="N1732">
        <v>322</v>
      </c>
      <c r="O1732">
        <v>171</v>
      </c>
      <c r="P1732">
        <v>89</v>
      </c>
    </row>
    <row r="1733" spans="1:16" x14ac:dyDescent="0.2">
      <c r="A1733" t="s">
        <v>341</v>
      </c>
      <c r="B1733" t="s">
        <v>346</v>
      </c>
      <c r="C1733" t="s">
        <v>141</v>
      </c>
      <c r="D1733" t="s">
        <v>384</v>
      </c>
      <c r="E1733">
        <v>4348</v>
      </c>
      <c r="F1733">
        <v>839</v>
      </c>
      <c r="G1733">
        <v>79.010000000000005</v>
      </c>
      <c r="H1733">
        <v>1838</v>
      </c>
      <c r="I1733">
        <v>22038</v>
      </c>
      <c r="J1733">
        <v>113.29</v>
      </c>
      <c r="K1733">
        <v>95.53</v>
      </c>
      <c r="L1733">
        <v>509</v>
      </c>
      <c r="M1733">
        <v>1553</v>
      </c>
      <c r="N1733">
        <v>1911</v>
      </c>
      <c r="O1733">
        <v>335</v>
      </c>
      <c r="P1733">
        <v>40</v>
      </c>
    </row>
    <row r="1734" spans="1:16" x14ac:dyDescent="0.2">
      <c r="A1734" t="s">
        <v>341</v>
      </c>
      <c r="B1734" t="s">
        <v>346</v>
      </c>
      <c r="C1734" t="s">
        <v>142</v>
      </c>
      <c r="D1734" t="s">
        <v>384</v>
      </c>
      <c r="E1734">
        <v>682</v>
      </c>
      <c r="F1734">
        <v>7</v>
      </c>
      <c r="G1734">
        <v>73.540000000000006</v>
      </c>
      <c r="H1734">
        <v>369</v>
      </c>
      <c r="I1734">
        <v>3833</v>
      </c>
      <c r="J1734">
        <v>91.72</v>
      </c>
      <c r="K1734">
        <v>88.91</v>
      </c>
      <c r="L1734">
        <v>92</v>
      </c>
      <c r="M1734">
        <v>392</v>
      </c>
      <c r="N1734">
        <v>60</v>
      </c>
      <c r="O1734">
        <v>102</v>
      </c>
      <c r="P1734">
        <v>36</v>
      </c>
    </row>
    <row r="1735" spans="1:16" x14ac:dyDescent="0.2">
      <c r="A1735" t="s">
        <v>341</v>
      </c>
      <c r="B1735" t="s">
        <v>346</v>
      </c>
      <c r="C1735" t="s">
        <v>150</v>
      </c>
      <c r="D1735" t="s">
        <v>384</v>
      </c>
      <c r="E1735">
        <v>4093</v>
      </c>
      <c r="F1735">
        <v>1225</v>
      </c>
      <c r="G1735">
        <v>106.93</v>
      </c>
      <c r="H1735">
        <v>1889</v>
      </c>
      <c r="I1735">
        <v>19479</v>
      </c>
      <c r="J1735">
        <v>137.29</v>
      </c>
      <c r="K1735">
        <v>123.73</v>
      </c>
      <c r="L1735">
        <v>654</v>
      </c>
      <c r="M1735">
        <v>2300</v>
      </c>
      <c r="N1735">
        <v>460</v>
      </c>
      <c r="O1735">
        <v>596</v>
      </c>
      <c r="P1735">
        <v>83</v>
      </c>
    </row>
    <row r="1736" spans="1:16" x14ac:dyDescent="0.2">
      <c r="A1736" t="s">
        <v>341</v>
      </c>
      <c r="B1736" t="s">
        <v>346</v>
      </c>
      <c r="C1736" t="s">
        <v>152</v>
      </c>
      <c r="D1736" t="s">
        <v>384</v>
      </c>
      <c r="E1736">
        <v>4459</v>
      </c>
      <c r="F1736">
        <v>1284</v>
      </c>
      <c r="G1736">
        <v>95.9</v>
      </c>
      <c r="H1736">
        <v>1957</v>
      </c>
      <c r="I1736">
        <v>20973</v>
      </c>
      <c r="J1736">
        <v>131.1</v>
      </c>
      <c r="K1736">
        <v>125.82</v>
      </c>
      <c r="L1736">
        <v>544</v>
      </c>
      <c r="M1736">
        <v>2941</v>
      </c>
      <c r="N1736">
        <v>712</v>
      </c>
      <c r="O1736">
        <v>214</v>
      </c>
      <c r="P1736">
        <v>48</v>
      </c>
    </row>
    <row r="1737" spans="1:16" x14ac:dyDescent="0.2">
      <c r="A1737" t="s">
        <v>341</v>
      </c>
      <c r="B1737" t="s">
        <v>346</v>
      </c>
      <c r="C1737" t="s">
        <v>153</v>
      </c>
      <c r="D1737" t="s">
        <v>384</v>
      </c>
      <c r="E1737">
        <v>1395</v>
      </c>
      <c r="F1737">
        <v>539</v>
      </c>
      <c r="G1737">
        <v>129.34</v>
      </c>
      <c r="H1737">
        <v>916</v>
      </c>
      <c r="I1737">
        <v>9533</v>
      </c>
      <c r="J1737">
        <v>124.28</v>
      </c>
      <c r="K1737">
        <v>118.69</v>
      </c>
      <c r="L1737">
        <v>166</v>
      </c>
      <c r="M1737">
        <v>892</v>
      </c>
      <c r="N1737">
        <v>150</v>
      </c>
      <c r="O1737">
        <v>102</v>
      </c>
      <c r="P1737">
        <v>85</v>
      </c>
    </row>
    <row r="1738" spans="1:16" x14ac:dyDescent="0.2">
      <c r="A1738" t="s">
        <v>341</v>
      </c>
      <c r="B1738" t="s">
        <v>346</v>
      </c>
      <c r="C1738" t="s">
        <v>155</v>
      </c>
      <c r="D1738" t="s">
        <v>384</v>
      </c>
      <c r="E1738">
        <v>360</v>
      </c>
      <c r="F1738">
        <v>21</v>
      </c>
      <c r="G1738">
        <v>78.78</v>
      </c>
      <c r="H1738">
        <v>186</v>
      </c>
      <c r="I1738">
        <v>2042</v>
      </c>
      <c r="J1738">
        <v>89.2</v>
      </c>
      <c r="K1738">
        <v>88.35</v>
      </c>
      <c r="L1738">
        <v>47</v>
      </c>
      <c r="M1738">
        <v>197</v>
      </c>
      <c r="N1738">
        <v>88</v>
      </c>
      <c r="O1738">
        <v>25</v>
      </c>
      <c r="P1738">
        <v>3</v>
      </c>
    </row>
    <row r="1739" spans="1:16" x14ac:dyDescent="0.2">
      <c r="A1739" t="s">
        <v>341</v>
      </c>
      <c r="B1739" t="s">
        <v>346</v>
      </c>
      <c r="C1739" t="s">
        <v>157</v>
      </c>
      <c r="D1739" t="s">
        <v>384</v>
      </c>
      <c r="E1739">
        <v>514</v>
      </c>
      <c r="F1739">
        <v>31</v>
      </c>
      <c r="G1739">
        <v>79.19</v>
      </c>
      <c r="H1739">
        <v>281</v>
      </c>
      <c r="I1739">
        <v>3132</v>
      </c>
      <c r="J1739">
        <v>92.89</v>
      </c>
      <c r="K1739">
        <v>91.95</v>
      </c>
      <c r="L1739">
        <v>72</v>
      </c>
      <c r="M1739">
        <v>279</v>
      </c>
      <c r="N1739">
        <v>37</v>
      </c>
      <c r="O1739">
        <v>109</v>
      </c>
      <c r="P1739">
        <v>17</v>
      </c>
    </row>
    <row r="1740" spans="1:16" x14ac:dyDescent="0.2">
      <c r="A1740" t="s">
        <v>341</v>
      </c>
      <c r="B1740" t="s">
        <v>346</v>
      </c>
      <c r="C1740" t="s">
        <v>160</v>
      </c>
      <c r="D1740" t="s">
        <v>384</v>
      </c>
      <c r="E1740">
        <v>253</v>
      </c>
      <c r="F1740">
        <v>17</v>
      </c>
      <c r="G1740">
        <v>83.75</v>
      </c>
      <c r="H1740">
        <v>108</v>
      </c>
      <c r="I1740">
        <v>1402</v>
      </c>
      <c r="J1740">
        <v>83.82</v>
      </c>
      <c r="K1740">
        <v>85.08</v>
      </c>
      <c r="L1740">
        <v>50</v>
      </c>
      <c r="M1740">
        <v>128</v>
      </c>
      <c r="N1740">
        <v>39</v>
      </c>
      <c r="O1740">
        <v>34</v>
      </c>
      <c r="P1740">
        <v>2</v>
      </c>
    </row>
    <row r="1741" spans="1:16" x14ac:dyDescent="0.2">
      <c r="A1741" t="s">
        <v>341</v>
      </c>
      <c r="B1741" t="s">
        <v>346</v>
      </c>
      <c r="C1741" t="s">
        <v>390</v>
      </c>
      <c r="D1741" t="s">
        <v>384</v>
      </c>
      <c r="E1741">
        <v>229989</v>
      </c>
      <c r="F1741">
        <v>43060</v>
      </c>
      <c r="G1741">
        <v>88.73</v>
      </c>
      <c r="H1741">
        <v>212</v>
      </c>
      <c r="I1741">
        <v>2503</v>
      </c>
      <c r="J1741">
        <v>93.75</v>
      </c>
      <c r="K1741">
        <v>92.36</v>
      </c>
      <c r="L1741">
        <v>2334</v>
      </c>
      <c r="M1741">
        <v>159157</v>
      </c>
      <c r="N1741">
        <v>67821</v>
      </c>
      <c r="O1741">
        <v>677</v>
      </c>
    </row>
    <row r="1742" spans="1:16" x14ac:dyDescent="0.2">
      <c r="A1742" t="s">
        <v>341</v>
      </c>
      <c r="B1742" t="s">
        <v>347</v>
      </c>
      <c r="C1742" t="s">
        <v>649</v>
      </c>
      <c r="D1742" t="s">
        <v>384</v>
      </c>
      <c r="E1742">
        <v>27329</v>
      </c>
      <c r="F1742">
        <v>6460</v>
      </c>
      <c r="G1742">
        <v>93.71</v>
      </c>
      <c r="H1742">
        <v>2950</v>
      </c>
      <c r="I1742">
        <v>35431</v>
      </c>
      <c r="J1742">
        <v>121.25</v>
      </c>
      <c r="K1742">
        <v>94.26</v>
      </c>
      <c r="L1742">
        <v>7856</v>
      </c>
      <c r="M1742">
        <v>12817</v>
      </c>
      <c r="N1742">
        <v>186</v>
      </c>
      <c r="O1742">
        <v>6056</v>
      </c>
      <c r="P1742">
        <v>414</v>
      </c>
    </row>
    <row r="1743" spans="1:16" x14ac:dyDescent="0.2">
      <c r="A1743" t="s">
        <v>341</v>
      </c>
      <c r="B1743" t="s">
        <v>348</v>
      </c>
      <c r="C1743" t="s">
        <v>649</v>
      </c>
      <c r="D1743" t="s">
        <v>384</v>
      </c>
      <c r="E1743">
        <v>525</v>
      </c>
      <c r="F1743">
        <v>129</v>
      </c>
      <c r="G1743">
        <v>106.7</v>
      </c>
      <c r="H1743">
        <v>81</v>
      </c>
      <c r="I1743">
        <v>1128</v>
      </c>
      <c r="J1743">
        <v>139.09</v>
      </c>
      <c r="K1743">
        <v>100.92</v>
      </c>
      <c r="L1743">
        <v>50</v>
      </c>
      <c r="M1743">
        <v>334</v>
      </c>
      <c r="N1743">
        <v>118</v>
      </c>
      <c r="O1743">
        <v>19</v>
      </c>
      <c r="P1743">
        <v>4</v>
      </c>
    </row>
    <row r="1744" spans="1:16" x14ac:dyDescent="0.2">
      <c r="A1744" t="s">
        <v>341</v>
      </c>
      <c r="B1744" t="s">
        <v>348</v>
      </c>
      <c r="C1744" t="s">
        <v>390</v>
      </c>
      <c r="D1744" t="s">
        <v>384</v>
      </c>
      <c r="E1744">
        <v>318</v>
      </c>
      <c r="F1744">
        <v>64</v>
      </c>
      <c r="G1744">
        <v>96.31</v>
      </c>
      <c r="H1744">
        <v>2</v>
      </c>
      <c r="I1744">
        <v>25</v>
      </c>
      <c r="J1744">
        <v>55.5</v>
      </c>
      <c r="K1744">
        <v>39.159999999999997</v>
      </c>
      <c r="L1744">
        <v>4</v>
      </c>
      <c r="M1744">
        <v>228</v>
      </c>
      <c r="N1744">
        <v>85</v>
      </c>
      <c r="O1744">
        <v>1</v>
      </c>
    </row>
    <row r="1745" spans="1:16" x14ac:dyDescent="0.2">
      <c r="A1745" t="s">
        <v>341</v>
      </c>
      <c r="B1745" t="s">
        <v>417</v>
      </c>
      <c r="C1745" t="s">
        <v>359</v>
      </c>
      <c r="D1745" t="s">
        <v>384</v>
      </c>
      <c r="E1745">
        <v>260693</v>
      </c>
      <c r="F1745">
        <v>52916</v>
      </c>
      <c r="G1745">
        <v>91.75</v>
      </c>
      <c r="H1745">
        <v>311</v>
      </c>
      <c r="I1745">
        <v>3845</v>
      </c>
      <c r="J1745">
        <v>94.86</v>
      </c>
      <c r="K1745">
        <v>91.78</v>
      </c>
      <c r="L1745">
        <v>8282</v>
      </c>
      <c r="M1745">
        <v>177606</v>
      </c>
      <c r="N1745">
        <v>69294</v>
      </c>
      <c r="O1745">
        <v>5446</v>
      </c>
      <c r="P1745">
        <v>65</v>
      </c>
    </row>
    <row r="1746" spans="1:16" x14ac:dyDescent="0.2">
      <c r="A1746" t="s">
        <v>341</v>
      </c>
      <c r="B1746" t="s">
        <v>417</v>
      </c>
      <c r="C1746" t="s">
        <v>386</v>
      </c>
      <c r="D1746" t="s">
        <v>384</v>
      </c>
      <c r="E1746">
        <v>24003</v>
      </c>
      <c r="F1746">
        <v>7315</v>
      </c>
      <c r="G1746">
        <v>107.98</v>
      </c>
      <c r="H1746">
        <v>11063</v>
      </c>
      <c r="I1746">
        <v>125654</v>
      </c>
      <c r="J1746">
        <v>127.8</v>
      </c>
      <c r="K1746">
        <v>111.71</v>
      </c>
      <c r="L1746">
        <v>4038</v>
      </c>
      <c r="M1746">
        <v>13701</v>
      </c>
      <c r="N1746">
        <v>2421</v>
      </c>
      <c r="O1746">
        <v>3134</v>
      </c>
      <c r="P1746">
        <v>709</v>
      </c>
    </row>
    <row r="1747" spans="1:16" x14ac:dyDescent="0.2">
      <c r="A1747" t="s">
        <v>341</v>
      </c>
      <c r="B1747" t="s">
        <v>417</v>
      </c>
      <c r="C1747" t="s">
        <v>385</v>
      </c>
      <c r="D1747" t="s">
        <v>384</v>
      </c>
      <c r="E1747">
        <v>32878</v>
      </c>
      <c r="F1747">
        <v>9421</v>
      </c>
      <c r="G1747">
        <v>108.2</v>
      </c>
      <c r="H1747">
        <v>14723</v>
      </c>
      <c r="I1747">
        <v>171345</v>
      </c>
      <c r="J1747">
        <v>134.52000000000001</v>
      </c>
      <c r="K1747">
        <v>120.3</v>
      </c>
      <c r="L1747">
        <v>4652</v>
      </c>
      <c r="M1747">
        <v>18352</v>
      </c>
      <c r="N1747">
        <v>4415</v>
      </c>
      <c r="O1747">
        <v>4267</v>
      </c>
      <c r="P1747">
        <v>1192</v>
      </c>
    </row>
    <row r="1748" spans="1:16" x14ac:dyDescent="0.2">
      <c r="A1748" t="s">
        <v>341</v>
      </c>
      <c r="B1748" t="s">
        <v>417</v>
      </c>
      <c r="C1748" t="s">
        <v>387</v>
      </c>
      <c r="D1748" t="s">
        <v>384</v>
      </c>
      <c r="E1748">
        <v>26577</v>
      </c>
      <c r="F1748">
        <v>7022</v>
      </c>
      <c r="G1748">
        <v>103.11</v>
      </c>
      <c r="H1748">
        <v>15327</v>
      </c>
      <c r="I1748">
        <v>157232</v>
      </c>
      <c r="J1748">
        <v>119.86</v>
      </c>
      <c r="K1748">
        <v>105.94</v>
      </c>
      <c r="L1748">
        <v>4751</v>
      </c>
      <c r="M1748">
        <v>13303</v>
      </c>
      <c r="N1748">
        <v>3187</v>
      </c>
      <c r="O1748">
        <v>4393</v>
      </c>
      <c r="P1748">
        <v>941</v>
      </c>
    </row>
    <row r="1749" spans="1:16" x14ac:dyDescent="0.2">
      <c r="A1749" t="s">
        <v>341</v>
      </c>
      <c r="B1749" t="s">
        <v>417</v>
      </c>
      <c r="C1749" t="s">
        <v>388</v>
      </c>
      <c r="D1749" t="s">
        <v>384</v>
      </c>
      <c r="E1749">
        <v>21433</v>
      </c>
      <c r="F1749">
        <v>5292</v>
      </c>
      <c r="G1749">
        <v>95.3</v>
      </c>
      <c r="H1749">
        <v>9657</v>
      </c>
      <c r="I1749">
        <v>114261</v>
      </c>
      <c r="J1749">
        <v>123.78</v>
      </c>
      <c r="K1749">
        <v>114.79</v>
      </c>
      <c r="L1749">
        <v>2809</v>
      </c>
      <c r="M1749">
        <v>11679</v>
      </c>
      <c r="N1749">
        <v>4231</v>
      </c>
      <c r="O1749">
        <v>2207</v>
      </c>
      <c r="P1749">
        <v>507</v>
      </c>
    </row>
    <row r="1750" spans="1:16" x14ac:dyDescent="0.2">
      <c r="A1750" t="s">
        <v>341</v>
      </c>
      <c r="B1750" t="s">
        <v>346</v>
      </c>
      <c r="C1750" t="s">
        <v>359</v>
      </c>
      <c r="D1750" t="s">
        <v>384</v>
      </c>
      <c r="E1750">
        <v>239140</v>
      </c>
      <c r="F1750">
        <v>49072</v>
      </c>
      <c r="G1750">
        <v>92.18</v>
      </c>
      <c r="H1750">
        <v>239</v>
      </c>
      <c r="I1750">
        <v>3552</v>
      </c>
      <c r="J1750">
        <v>99.2</v>
      </c>
      <c r="K1750">
        <v>92.39</v>
      </c>
      <c r="L1750">
        <v>2356</v>
      </c>
      <c r="M1750">
        <v>166128</v>
      </c>
      <c r="N1750">
        <v>69112</v>
      </c>
      <c r="O1750">
        <v>1479</v>
      </c>
      <c r="P1750">
        <v>65</v>
      </c>
    </row>
    <row r="1751" spans="1:16" x14ac:dyDescent="0.2">
      <c r="A1751" t="s">
        <v>341</v>
      </c>
      <c r="B1751" t="s">
        <v>346</v>
      </c>
      <c r="C1751" t="s">
        <v>386</v>
      </c>
      <c r="D1751" t="s">
        <v>384</v>
      </c>
      <c r="E1751">
        <v>21228</v>
      </c>
      <c r="F1751">
        <v>5963</v>
      </c>
      <c r="G1751">
        <v>105.53</v>
      </c>
      <c r="H1751">
        <v>10055</v>
      </c>
      <c r="I1751">
        <v>112927</v>
      </c>
      <c r="J1751">
        <v>127.45</v>
      </c>
      <c r="K1751">
        <v>112.44</v>
      </c>
      <c r="L1751">
        <v>3281</v>
      </c>
      <c r="M1751">
        <v>12963</v>
      </c>
      <c r="N1751">
        <v>2377</v>
      </c>
      <c r="O1751">
        <v>2171</v>
      </c>
      <c r="P1751">
        <v>436</v>
      </c>
    </row>
    <row r="1752" spans="1:16" x14ac:dyDescent="0.2">
      <c r="A1752" t="s">
        <v>341</v>
      </c>
      <c r="B1752" t="s">
        <v>346</v>
      </c>
      <c r="C1752" t="s">
        <v>385</v>
      </c>
      <c r="D1752" t="s">
        <v>384</v>
      </c>
      <c r="E1752">
        <v>32778</v>
      </c>
      <c r="F1752">
        <v>9368</v>
      </c>
      <c r="G1752">
        <v>108</v>
      </c>
      <c r="H1752">
        <v>14639</v>
      </c>
      <c r="I1752">
        <v>170392</v>
      </c>
      <c r="J1752">
        <v>134.88</v>
      </c>
      <c r="K1752">
        <v>120.56</v>
      </c>
      <c r="L1752">
        <v>4636</v>
      </c>
      <c r="M1752">
        <v>18302</v>
      </c>
      <c r="N1752">
        <v>4404</v>
      </c>
      <c r="O1752">
        <v>4252</v>
      </c>
      <c r="P1752">
        <v>1184</v>
      </c>
    </row>
    <row r="1753" spans="1:16" x14ac:dyDescent="0.2">
      <c r="A1753" t="s">
        <v>341</v>
      </c>
      <c r="B1753" t="s">
        <v>346</v>
      </c>
      <c r="C1753" t="s">
        <v>387</v>
      </c>
      <c r="D1753" t="s">
        <v>384</v>
      </c>
      <c r="E1753">
        <v>23190</v>
      </c>
      <c r="F1753">
        <v>5692</v>
      </c>
      <c r="G1753">
        <v>102.35</v>
      </c>
      <c r="H1753">
        <v>13488</v>
      </c>
      <c r="I1753">
        <v>135228</v>
      </c>
      <c r="J1753">
        <v>119.39</v>
      </c>
      <c r="K1753">
        <v>108.58</v>
      </c>
      <c r="L1753">
        <v>3561</v>
      </c>
      <c r="M1753">
        <v>12427</v>
      </c>
      <c r="N1753">
        <v>3128</v>
      </c>
      <c r="O1753">
        <v>3267</v>
      </c>
      <c r="P1753">
        <v>805</v>
      </c>
    </row>
    <row r="1754" spans="1:16" x14ac:dyDescent="0.2">
      <c r="A1754" t="s">
        <v>341</v>
      </c>
      <c r="B1754" t="s">
        <v>346</v>
      </c>
      <c r="C1754" t="s">
        <v>388</v>
      </c>
      <c r="D1754" t="s">
        <v>384</v>
      </c>
      <c r="E1754">
        <v>21379</v>
      </c>
      <c r="F1754">
        <v>5276</v>
      </c>
      <c r="G1754">
        <v>95.19</v>
      </c>
      <c r="H1754">
        <v>9625</v>
      </c>
      <c r="I1754">
        <v>113624</v>
      </c>
      <c r="J1754">
        <v>124.06</v>
      </c>
      <c r="K1754">
        <v>114.85</v>
      </c>
      <c r="L1754">
        <v>2792</v>
      </c>
      <c r="M1754">
        <v>11657</v>
      </c>
      <c r="N1754">
        <v>4221</v>
      </c>
      <c r="O1754">
        <v>2203</v>
      </c>
      <c r="P1754">
        <v>506</v>
      </c>
    </row>
    <row r="1755" spans="1:16" x14ac:dyDescent="0.2">
      <c r="A1755" t="s">
        <v>342</v>
      </c>
      <c r="B1755" t="s">
        <v>417</v>
      </c>
      <c r="C1755" t="s">
        <v>649</v>
      </c>
      <c r="D1755" t="s">
        <v>384</v>
      </c>
      <c r="E1755">
        <v>365584</v>
      </c>
      <c r="F1755">
        <v>81966</v>
      </c>
      <c r="G1755">
        <v>95.33</v>
      </c>
      <c r="H1755">
        <v>51081</v>
      </c>
      <c r="I1755">
        <v>572337</v>
      </c>
      <c r="J1755">
        <v>126.39</v>
      </c>
      <c r="K1755">
        <v>113.18</v>
      </c>
    </row>
    <row r="1756" spans="1:16" x14ac:dyDescent="0.2">
      <c r="A1756" t="s">
        <v>342</v>
      </c>
      <c r="B1756" t="s">
        <v>346</v>
      </c>
      <c r="C1756" t="s">
        <v>649</v>
      </c>
      <c r="D1756" t="s">
        <v>384</v>
      </c>
      <c r="E1756">
        <v>341487</v>
      </c>
      <c r="F1756">
        <v>76388</v>
      </c>
      <c r="G1756">
        <v>95.57</v>
      </c>
      <c r="H1756">
        <v>48028</v>
      </c>
      <c r="I1756">
        <v>535714</v>
      </c>
      <c r="J1756">
        <v>126.74</v>
      </c>
      <c r="K1756">
        <v>114.46</v>
      </c>
    </row>
    <row r="1757" spans="1:16" x14ac:dyDescent="0.2">
      <c r="A1757" t="s">
        <v>342</v>
      </c>
      <c r="B1757" t="s">
        <v>346</v>
      </c>
      <c r="C1757" t="s">
        <v>354</v>
      </c>
      <c r="D1757" t="s">
        <v>384</v>
      </c>
      <c r="E1757">
        <v>1093</v>
      </c>
      <c r="F1757">
        <v>300</v>
      </c>
      <c r="G1757">
        <v>108.22</v>
      </c>
      <c r="H1757">
        <v>192</v>
      </c>
      <c r="I1757">
        <v>1864</v>
      </c>
      <c r="J1757">
        <v>144.9</v>
      </c>
      <c r="K1757">
        <v>117.22</v>
      </c>
    </row>
    <row r="1758" spans="1:16" x14ac:dyDescent="0.2">
      <c r="A1758" t="s">
        <v>342</v>
      </c>
      <c r="B1758" t="s">
        <v>346</v>
      </c>
      <c r="C1758" t="s">
        <v>270</v>
      </c>
      <c r="D1758" t="s">
        <v>384</v>
      </c>
      <c r="E1758">
        <v>8263</v>
      </c>
      <c r="F1758">
        <v>1764</v>
      </c>
      <c r="G1758">
        <v>91.53</v>
      </c>
      <c r="H1758">
        <v>1089</v>
      </c>
      <c r="I1758">
        <v>12213</v>
      </c>
      <c r="J1758">
        <v>131.91999999999999</v>
      </c>
      <c r="K1758">
        <v>116.84</v>
      </c>
    </row>
    <row r="1759" spans="1:16" x14ac:dyDescent="0.2">
      <c r="A1759" t="s">
        <v>342</v>
      </c>
      <c r="B1759" t="s">
        <v>346</v>
      </c>
      <c r="C1759" t="s">
        <v>231</v>
      </c>
      <c r="D1759" t="s">
        <v>384</v>
      </c>
      <c r="E1759">
        <v>3725</v>
      </c>
      <c r="F1759">
        <v>752</v>
      </c>
      <c r="G1759">
        <v>92.54</v>
      </c>
      <c r="H1759">
        <v>510</v>
      </c>
      <c r="I1759">
        <v>6073</v>
      </c>
      <c r="J1759">
        <v>126.99</v>
      </c>
      <c r="K1759">
        <v>116.52</v>
      </c>
    </row>
    <row r="1760" spans="1:16" x14ac:dyDescent="0.2">
      <c r="A1760" t="s">
        <v>342</v>
      </c>
      <c r="B1760" t="s">
        <v>346</v>
      </c>
      <c r="C1760" t="s">
        <v>261</v>
      </c>
      <c r="D1760" t="s">
        <v>384</v>
      </c>
      <c r="E1760">
        <v>6900</v>
      </c>
      <c r="F1760">
        <v>1559</v>
      </c>
      <c r="G1760">
        <v>97.22</v>
      </c>
      <c r="H1760">
        <v>992</v>
      </c>
      <c r="I1760">
        <v>11348</v>
      </c>
      <c r="J1760">
        <v>131.88999999999999</v>
      </c>
      <c r="K1760">
        <v>116.79</v>
      </c>
    </row>
    <row r="1761" spans="1:11" x14ac:dyDescent="0.2">
      <c r="A1761" t="s">
        <v>342</v>
      </c>
      <c r="B1761" t="s">
        <v>346</v>
      </c>
      <c r="C1761" t="s">
        <v>248</v>
      </c>
      <c r="D1761" t="s">
        <v>384</v>
      </c>
      <c r="E1761">
        <v>32748</v>
      </c>
      <c r="F1761">
        <v>7469</v>
      </c>
      <c r="G1761">
        <v>96.91</v>
      </c>
      <c r="H1761">
        <v>4125</v>
      </c>
      <c r="I1761">
        <v>49861</v>
      </c>
      <c r="J1761">
        <v>129.38999999999999</v>
      </c>
      <c r="K1761">
        <v>116.89</v>
      </c>
    </row>
    <row r="1762" spans="1:11" x14ac:dyDescent="0.2">
      <c r="A1762" t="s">
        <v>342</v>
      </c>
      <c r="B1762" t="s">
        <v>346</v>
      </c>
      <c r="C1762" t="s">
        <v>266</v>
      </c>
      <c r="D1762" t="s">
        <v>384</v>
      </c>
      <c r="E1762">
        <v>6660</v>
      </c>
      <c r="F1762">
        <v>1276</v>
      </c>
      <c r="G1762">
        <v>88.5</v>
      </c>
      <c r="H1762">
        <v>960</v>
      </c>
      <c r="I1762">
        <v>10837</v>
      </c>
      <c r="J1762">
        <v>120.36</v>
      </c>
      <c r="K1762">
        <v>108.81</v>
      </c>
    </row>
    <row r="1763" spans="1:11" x14ac:dyDescent="0.2">
      <c r="A1763" t="s">
        <v>342</v>
      </c>
      <c r="B1763" t="s">
        <v>346</v>
      </c>
      <c r="C1763" t="s">
        <v>269</v>
      </c>
      <c r="D1763" t="s">
        <v>384</v>
      </c>
      <c r="E1763">
        <v>1975</v>
      </c>
      <c r="F1763">
        <v>368</v>
      </c>
      <c r="G1763">
        <v>82.98</v>
      </c>
      <c r="H1763">
        <v>339</v>
      </c>
      <c r="I1763">
        <v>3521</v>
      </c>
      <c r="J1763">
        <v>109.41</v>
      </c>
      <c r="K1763">
        <v>107.13</v>
      </c>
    </row>
    <row r="1764" spans="1:11" x14ac:dyDescent="0.2">
      <c r="A1764" t="s">
        <v>342</v>
      </c>
      <c r="B1764" t="s">
        <v>346</v>
      </c>
      <c r="C1764" t="s">
        <v>262</v>
      </c>
      <c r="D1764" t="s">
        <v>384</v>
      </c>
      <c r="E1764">
        <v>486</v>
      </c>
      <c r="F1764">
        <v>139</v>
      </c>
      <c r="G1764">
        <v>113.73</v>
      </c>
      <c r="H1764">
        <v>81</v>
      </c>
      <c r="I1764">
        <v>735</v>
      </c>
      <c r="J1764">
        <v>142.69</v>
      </c>
      <c r="K1764">
        <v>130.56</v>
      </c>
    </row>
    <row r="1765" spans="1:11" x14ac:dyDescent="0.2">
      <c r="A1765" t="s">
        <v>342</v>
      </c>
      <c r="B1765" t="s">
        <v>346</v>
      </c>
      <c r="C1765" t="s">
        <v>240</v>
      </c>
      <c r="D1765" t="s">
        <v>384</v>
      </c>
      <c r="E1765">
        <v>944</v>
      </c>
      <c r="F1765">
        <v>254</v>
      </c>
      <c r="G1765">
        <v>108.03</v>
      </c>
      <c r="H1765">
        <v>162</v>
      </c>
      <c r="I1765">
        <v>1632</v>
      </c>
      <c r="J1765">
        <v>140.35</v>
      </c>
      <c r="K1765">
        <v>123.07</v>
      </c>
    </row>
    <row r="1766" spans="1:11" x14ac:dyDescent="0.2">
      <c r="A1766" t="s">
        <v>342</v>
      </c>
      <c r="B1766" t="s">
        <v>346</v>
      </c>
      <c r="C1766" t="s">
        <v>233</v>
      </c>
      <c r="D1766" t="s">
        <v>384</v>
      </c>
      <c r="E1766">
        <v>26868</v>
      </c>
      <c r="F1766">
        <v>5984</v>
      </c>
      <c r="G1766">
        <v>95.41</v>
      </c>
      <c r="H1766">
        <v>3844</v>
      </c>
      <c r="I1766">
        <v>41505</v>
      </c>
      <c r="J1766">
        <v>127.84</v>
      </c>
      <c r="K1766">
        <v>114.25</v>
      </c>
    </row>
    <row r="1767" spans="1:11" x14ac:dyDescent="0.2">
      <c r="A1767" t="s">
        <v>342</v>
      </c>
      <c r="B1767" t="s">
        <v>346</v>
      </c>
      <c r="C1767" t="s">
        <v>278</v>
      </c>
      <c r="D1767" t="s">
        <v>384</v>
      </c>
      <c r="E1767">
        <v>18514</v>
      </c>
      <c r="F1767">
        <v>4117</v>
      </c>
      <c r="G1767">
        <v>93.75</v>
      </c>
      <c r="H1767">
        <v>2373</v>
      </c>
      <c r="I1767">
        <v>26339</v>
      </c>
      <c r="J1767">
        <v>126.22</v>
      </c>
      <c r="K1767">
        <v>114.85</v>
      </c>
    </row>
    <row r="1768" spans="1:11" x14ac:dyDescent="0.2">
      <c r="A1768" t="s">
        <v>342</v>
      </c>
      <c r="B1768" t="s">
        <v>346</v>
      </c>
      <c r="C1768" t="s">
        <v>277</v>
      </c>
      <c r="D1768" t="s">
        <v>384</v>
      </c>
      <c r="E1768">
        <v>2036</v>
      </c>
      <c r="F1768">
        <v>517</v>
      </c>
      <c r="G1768">
        <v>100.36</v>
      </c>
      <c r="H1768">
        <v>296</v>
      </c>
      <c r="I1768">
        <v>3584</v>
      </c>
      <c r="J1768">
        <v>114.91</v>
      </c>
      <c r="K1768">
        <v>109.48</v>
      </c>
    </row>
    <row r="1769" spans="1:11" x14ac:dyDescent="0.2">
      <c r="A1769" t="s">
        <v>342</v>
      </c>
      <c r="B1769" t="s">
        <v>346</v>
      </c>
      <c r="C1769" t="s">
        <v>279</v>
      </c>
      <c r="D1769" t="s">
        <v>384</v>
      </c>
      <c r="E1769">
        <v>2510</v>
      </c>
      <c r="F1769">
        <v>613</v>
      </c>
      <c r="G1769">
        <v>100.44</v>
      </c>
      <c r="H1769">
        <v>360</v>
      </c>
      <c r="I1769">
        <v>4438</v>
      </c>
      <c r="J1769">
        <v>119.2</v>
      </c>
      <c r="K1769">
        <v>114.68</v>
      </c>
    </row>
    <row r="1770" spans="1:11" x14ac:dyDescent="0.2">
      <c r="A1770" t="s">
        <v>342</v>
      </c>
      <c r="B1770" t="s">
        <v>346</v>
      </c>
      <c r="C1770" t="s">
        <v>250</v>
      </c>
      <c r="D1770" t="s">
        <v>384</v>
      </c>
      <c r="E1770">
        <v>2192</v>
      </c>
      <c r="F1770">
        <v>506</v>
      </c>
      <c r="G1770">
        <v>92.96</v>
      </c>
      <c r="H1770">
        <v>346</v>
      </c>
      <c r="I1770">
        <v>3126</v>
      </c>
      <c r="J1770">
        <v>130.72</v>
      </c>
      <c r="K1770">
        <v>120.8</v>
      </c>
    </row>
    <row r="1771" spans="1:11" x14ac:dyDescent="0.2">
      <c r="A1771" t="s">
        <v>342</v>
      </c>
      <c r="B1771" t="s">
        <v>346</v>
      </c>
      <c r="C1771" t="s">
        <v>265</v>
      </c>
      <c r="D1771" t="s">
        <v>384</v>
      </c>
      <c r="E1771">
        <v>7402</v>
      </c>
      <c r="F1771">
        <v>1857</v>
      </c>
      <c r="G1771">
        <v>103.72</v>
      </c>
      <c r="H1771">
        <v>1078</v>
      </c>
      <c r="I1771">
        <v>11307</v>
      </c>
      <c r="J1771">
        <v>134.22999999999999</v>
      </c>
      <c r="K1771">
        <v>118.47</v>
      </c>
    </row>
    <row r="1772" spans="1:11" x14ac:dyDescent="0.2">
      <c r="A1772" t="s">
        <v>342</v>
      </c>
      <c r="B1772" t="s">
        <v>346</v>
      </c>
      <c r="C1772" t="s">
        <v>246</v>
      </c>
      <c r="D1772" t="s">
        <v>384</v>
      </c>
      <c r="E1772">
        <v>5540</v>
      </c>
      <c r="F1772">
        <v>1201</v>
      </c>
      <c r="G1772">
        <v>93.6</v>
      </c>
      <c r="H1772">
        <v>833</v>
      </c>
      <c r="I1772">
        <v>8499</v>
      </c>
      <c r="J1772">
        <v>126.24</v>
      </c>
      <c r="K1772">
        <v>113.94</v>
      </c>
    </row>
    <row r="1773" spans="1:11" x14ac:dyDescent="0.2">
      <c r="A1773" t="s">
        <v>342</v>
      </c>
      <c r="B1773" t="s">
        <v>346</v>
      </c>
      <c r="C1773" t="s">
        <v>280</v>
      </c>
      <c r="D1773" t="s">
        <v>384</v>
      </c>
      <c r="E1773">
        <v>2393</v>
      </c>
      <c r="F1773">
        <v>517</v>
      </c>
      <c r="G1773">
        <v>93.82</v>
      </c>
      <c r="H1773">
        <v>418</v>
      </c>
      <c r="I1773">
        <v>4210</v>
      </c>
      <c r="J1773">
        <v>112.35</v>
      </c>
      <c r="K1773">
        <v>105.04</v>
      </c>
    </row>
    <row r="1774" spans="1:11" x14ac:dyDescent="0.2">
      <c r="A1774" t="s">
        <v>342</v>
      </c>
      <c r="B1774" t="s">
        <v>346</v>
      </c>
      <c r="C1774" t="s">
        <v>252</v>
      </c>
      <c r="D1774" t="s">
        <v>384</v>
      </c>
      <c r="E1774">
        <v>4406</v>
      </c>
      <c r="F1774">
        <v>890</v>
      </c>
      <c r="G1774">
        <v>96.27</v>
      </c>
      <c r="H1774">
        <v>617</v>
      </c>
      <c r="I1774">
        <v>6585</v>
      </c>
      <c r="J1774">
        <v>123.45</v>
      </c>
      <c r="K1774">
        <v>105.26</v>
      </c>
    </row>
    <row r="1775" spans="1:11" x14ac:dyDescent="0.2">
      <c r="A1775" t="s">
        <v>342</v>
      </c>
      <c r="B1775" t="s">
        <v>346</v>
      </c>
      <c r="C1775" t="s">
        <v>236</v>
      </c>
      <c r="D1775" t="s">
        <v>384</v>
      </c>
      <c r="E1775">
        <v>6180</v>
      </c>
      <c r="F1775">
        <v>1395</v>
      </c>
      <c r="G1775">
        <v>97.93</v>
      </c>
      <c r="H1775">
        <v>896</v>
      </c>
      <c r="I1775">
        <v>10164</v>
      </c>
      <c r="J1775">
        <v>128.72999999999999</v>
      </c>
      <c r="K1775">
        <v>114.68</v>
      </c>
    </row>
    <row r="1776" spans="1:11" x14ac:dyDescent="0.2">
      <c r="A1776" t="s">
        <v>342</v>
      </c>
      <c r="B1776" t="s">
        <v>346</v>
      </c>
      <c r="C1776" t="s">
        <v>241</v>
      </c>
      <c r="D1776" t="s">
        <v>384</v>
      </c>
      <c r="E1776">
        <v>3685</v>
      </c>
      <c r="F1776">
        <v>853</v>
      </c>
      <c r="G1776">
        <v>96.45</v>
      </c>
      <c r="H1776">
        <v>620</v>
      </c>
      <c r="I1776">
        <v>6945</v>
      </c>
      <c r="J1776">
        <v>122.07</v>
      </c>
      <c r="K1776">
        <v>112.5</v>
      </c>
    </row>
    <row r="1777" spans="1:11" x14ac:dyDescent="0.2">
      <c r="A1777" t="s">
        <v>342</v>
      </c>
      <c r="B1777" t="s">
        <v>346</v>
      </c>
      <c r="C1777" t="s">
        <v>258</v>
      </c>
      <c r="D1777" t="s">
        <v>384</v>
      </c>
      <c r="E1777">
        <v>6837</v>
      </c>
      <c r="F1777">
        <v>1672</v>
      </c>
      <c r="G1777">
        <v>99.49</v>
      </c>
      <c r="H1777">
        <v>940</v>
      </c>
      <c r="I1777">
        <v>10364</v>
      </c>
      <c r="J1777">
        <v>134.15</v>
      </c>
      <c r="K1777">
        <v>122.66</v>
      </c>
    </row>
    <row r="1778" spans="1:11" x14ac:dyDescent="0.2">
      <c r="A1778" t="s">
        <v>342</v>
      </c>
      <c r="B1778" t="s">
        <v>346</v>
      </c>
      <c r="C1778" t="s">
        <v>268</v>
      </c>
      <c r="D1778" t="s">
        <v>384</v>
      </c>
      <c r="E1778">
        <v>1327</v>
      </c>
      <c r="F1778">
        <v>296</v>
      </c>
      <c r="G1778">
        <v>96.02</v>
      </c>
      <c r="H1778">
        <v>206</v>
      </c>
      <c r="I1778">
        <v>2408</v>
      </c>
      <c r="J1778">
        <v>119.73</v>
      </c>
      <c r="K1778">
        <v>113.59</v>
      </c>
    </row>
    <row r="1779" spans="1:11" x14ac:dyDescent="0.2">
      <c r="A1779" t="s">
        <v>342</v>
      </c>
      <c r="B1779" t="s">
        <v>346</v>
      </c>
      <c r="C1779" t="s">
        <v>242</v>
      </c>
      <c r="D1779" t="s">
        <v>384</v>
      </c>
      <c r="E1779">
        <v>6501</v>
      </c>
      <c r="F1779">
        <v>1453</v>
      </c>
      <c r="G1779">
        <v>98.86</v>
      </c>
      <c r="H1779">
        <v>1009</v>
      </c>
      <c r="I1779">
        <v>10886</v>
      </c>
      <c r="J1779">
        <v>126.21</v>
      </c>
      <c r="K1779">
        <v>112.26</v>
      </c>
    </row>
    <row r="1780" spans="1:11" x14ac:dyDescent="0.2">
      <c r="A1780" t="s">
        <v>342</v>
      </c>
      <c r="B1780" t="s">
        <v>346</v>
      </c>
      <c r="C1780" t="s">
        <v>249</v>
      </c>
      <c r="D1780" t="s">
        <v>384</v>
      </c>
      <c r="E1780">
        <v>4156</v>
      </c>
      <c r="F1780">
        <v>928</v>
      </c>
      <c r="G1780">
        <v>97.76</v>
      </c>
      <c r="H1780">
        <v>696</v>
      </c>
      <c r="I1780">
        <v>7998</v>
      </c>
      <c r="J1780">
        <v>118.26</v>
      </c>
      <c r="K1780">
        <v>108.58</v>
      </c>
    </row>
    <row r="1781" spans="1:11" x14ac:dyDescent="0.2">
      <c r="A1781" t="s">
        <v>342</v>
      </c>
      <c r="B1781" t="s">
        <v>346</v>
      </c>
      <c r="C1781" t="s">
        <v>255</v>
      </c>
      <c r="D1781" t="s">
        <v>384</v>
      </c>
      <c r="E1781">
        <v>5776</v>
      </c>
      <c r="F1781">
        <v>1309</v>
      </c>
      <c r="G1781">
        <v>96.86</v>
      </c>
      <c r="H1781">
        <v>842</v>
      </c>
      <c r="I1781">
        <v>9284</v>
      </c>
      <c r="J1781">
        <v>121.76</v>
      </c>
      <c r="K1781">
        <v>110.71</v>
      </c>
    </row>
    <row r="1782" spans="1:11" x14ac:dyDescent="0.2">
      <c r="A1782" t="s">
        <v>342</v>
      </c>
      <c r="B1782" t="s">
        <v>346</v>
      </c>
      <c r="C1782" t="s">
        <v>271</v>
      </c>
      <c r="D1782" t="s">
        <v>384</v>
      </c>
      <c r="E1782">
        <v>4583</v>
      </c>
      <c r="F1782">
        <v>1326</v>
      </c>
      <c r="G1782">
        <v>108.2</v>
      </c>
      <c r="H1782">
        <v>579</v>
      </c>
      <c r="I1782">
        <v>6207</v>
      </c>
      <c r="J1782">
        <v>133.74</v>
      </c>
      <c r="K1782">
        <v>130.83000000000001</v>
      </c>
    </row>
    <row r="1783" spans="1:11" x14ac:dyDescent="0.2">
      <c r="A1783" t="s">
        <v>342</v>
      </c>
      <c r="B1783" t="s">
        <v>346</v>
      </c>
      <c r="C1783" t="s">
        <v>274</v>
      </c>
      <c r="D1783" t="s">
        <v>384</v>
      </c>
      <c r="E1783">
        <v>1166</v>
      </c>
      <c r="F1783">
        <v>169</v>
      </c>
      <c r="G1783">
        <v>79.56</v>
      </c>
      <c r="H1783">
        <v>158</v>
      </c>
      <c r="I1783">
        <v>1820</v>
      </c>
      <c r="J1783">
        <v>107.18</v>
      </c>
      <c r="K1783">
        <v>100.81</v>
      </c>
    </row>
    <row r="1784" spans="1:11" x14ac:dyDescent="0.2">
      <c r="A1784" t="s">
        <v>342</v>
      </c>
      <c r="B1784" t="s">
        <v>346</v>
      </c>
      <c r="C1784" t="s">
        <v>264</v>
      </c>
      <c r="D1784" t="s">
        <v>384</v>
      </c>
      <c r="E1784">
        <v>17233</v>
      </c>
      <c r="F1784">
        <v>3944</v>
      </c>
      <c r="G1784">
        <v>95.88</v>
      </c>
      <c r="H1784">
        <v>2468</v>
      </c>
      <c r="I1784">
        <v>27739</v>
      </c>
      <c r="J1784">
        <v>126.2</v>
      </c>
      <c r="K1784">
        <v>116.06</v>
      </c>
    </row>
    <row r="1785" spans="1:11" x14ac:dyDescent="0.2">
      <c r="A1785" t="s">
        <v>342</v>
      </c>
      <c r="B1785" t="s">
        <v>346</v>
      </c>
      <c r="C1785" t="s">
        <v>239</v>
      </c>
      <c r="D1785" t="s">
        <v>384</v>
      </c>
      <c r="E1785">
        <v>739</v>
      </c>
      <c r="F1785">
        <v>149</v>
      </c>
      <c r="G1785">
        <v>90.81</v>
      </c>
      <c r="H1785">
        <v>151</v>
      </c>
      <c r="I1785">
        <v>1228</v>
      </c>
      <c r="J1785">
        <v>118.97</v>
      </c>
      <c r="K1785">
        <v>119.54</v>
      </c>
    </row>
    <row r="1786" spans="1:11" x14ac:dyDescent="0.2">
      <c r="A1786" t="s">
        <v>342</v>
      </c>
      <c r="B1786" t="s">
        <v>346</v>
      </c>
      <c r="C1786" t="s">
        <v>238</v>
      </c>
      <c r="D1786" t="s">
        <v>384</v>
      </c>
      <c r="E1786">
        <v>1848</v>
      </c>
      <c r="F1786">
        <v>359</v>
      </c>
      <c r="G1786">
        <v>91.74</v>
      </c>
      <c r="H1786">
        <v>295</v>
      </c>
      <c r="I1786">
        <v>3309</v>
      </c>
      <c r="J1786">
        <v>113.68</v>
      </c>
      <c r="K1786">
        <v>104.03</v>
      </c>
    </row>
    <row r="1787" spans="1:11" x14ac:dyDescent="0.2">
      <c r="A1787" t="s">
        <v>342</v>
      </c>
      <c r="B1787" t="s">
        <v>346</v>
      </c>
      <c r="C1787" t="s">
        <v>275</v>
      </c>
      <c r="D1787" t="s">
        <v>384</v>
      </c>
      <c r="E1787">
        <v>1233</v>
      </c>
      <c r="F1787">
        <v>267</v>
      </c>
      <c r="G1787">
        <v>93.61</v>
      </c>
      <c r="H1787">
        <v>192</v>
      </c>
      <c r="I1787">
        <v>2163</v>
      </c>
      <c r="J1787">
        <v>125.61</v>
      </c>
      <c r="K1787">
        <v>112.27</v>
      </c>
    </row>
    <row r="1788" spans="1:11" x14ac:dyDescent="0.2">
      <c r="A1788" t="s">
        <v>342</v>
      </c>
      <c r="B1788" t="s">
        <v>346</v>
      </c>
      <c r="C1788" t="s">
        <v>273</v>
      </c>
      <c r="D1788" t="s">
        <v>384</v>
      </c>
      <c r="E1788">
        <v>4416</v>
      </c>
      <c r="F1788">
        <v>1109</v>
      </c>
      <c r="G1788">
        <v>100.4</v>
      </c>
      <c r="H1788">
        <v>621</v>
      </c>
      <c r="I1788">
        <v>6658</v>
      </c>
      <c r="J1788">
        <v>135.78</v>
      </c>
      <c r="K1788">
        <v>124.21</v>
      </c>
    </row>
    <row r="1789" spans="1:11" x14ac:dyDescent="0.2">
      <c r="A1789" t="s">
        <v>342</v>
      </c>
      <c r="B1789" t="s">
        <v>346</v>
      </c>
      <c r="C1789" t="s">
        <v>234</v>
      </c>
      <c r="D1789" t="s">
        <v>384</v>
      </c>
      <c r="E1789">
        <v>2218</v>
      </c>
      <c r="F1789">
        <v>614</v>
      </c>
      <c r="G1789">
        <v>107.15</v>
      </c>
      <c r="H1789">
        <v>401</v>
      </c>
      <c r="I1789">
        <v>3548</v>
      </c>
      <c r="J1789">
        <v>130.44</v>
      </c>
      <c r="K1789">
        <v>124.26</v>
      </c>
    </row>
    <row r="1790" spans="1:11" x14ac:dyDescent="0.2">
      <c r="A1790" t="s">
        <v>342</v>
      </c>
      <c r="B1790" t="s">
        <v>346</v>
      </c>
      <c r="C1790" t="s">
        <v>244</v>
      </c>
      <c r="D1790" t="s">
        <v>384</v>
      </c>
      <c r="E1790">
        <v>4785</v>
      </c>
      <c r="F1790">
        <v>1545</v>
      </c>
      <c r="G1790">
        <v>115.87</v>
      </c>
      <c r="H1790">
        <v>645</v>
      </c>
      <c r="I1790">
        <v>6788</v>
      </c>
      <c r="J1790">
        <v>146.94999999999999</v>
      </c>
      <c r="K1790">
        <v>135.56</v>
      </c>
    </row>
    <row r="1791" spans="1:11" x14ac:dyDescent="0.2">
      <c r="A1791" t="s">
        <v>342</v>
      </c>
      <c r="B1791" t="s">
        <v>346</v>
      </c>
      <c r="C1791" t="s">
        <v>251</v>
      </c>
      <c r="D1791" t="s">
        <v>384</v>
      </c>
      <c r="E1791">
        <v>8612</v>
      </c>
      <c r="F1791">
        <v>2029</v>
      </c>
      <c r="G1791">
        <v>98.04</v>
      </c>
      <c r="H1791">
        <v>1282</v>
      </c>
      <c r="I1791">
        <v>13505</v>
      </c>
      <c r="J1791">
        <v>121.91</v>
      </c>
      <c r="K1791">
        <v>114.08</v>
      </c>
    </row>
    <row r="1792" spans="1:11" x14ac:dyDescent="0.2">
      <c r="A1792" t="s">
        <v>342</v>
      </c>
      <c r="B1792" t="s">
        <v>346</v>
      </c>
      <c r="C1792" t="s">
        <v>272</v>
      </c>
      <c r="D1792" t="s">
        <v>384</v>
      </c>
      <c r="E1792">
        <v>9767</v>
      </c>
      <c r="F1792">
        <v>2050</v>
      </c>
      <c r="G1792">
        <v>91.87</v>
      </c>
      <c r="H1792">
        <v>1395</v>
      </c>
      <c r="I1792">
        <v>15677</v>
      </c>
      <c r="J1792">
        <v>120.36</v>
      </c>
      <c r="K1792">
        <v>113.05</v>
      </c>
    </row>
    <row r="1793" spans="1:11" x14ac:dyDescent="0.2">
      <c r="A1793" t="s">
        <v>342</v>
      </c>
      <c r="B1793" t="s">
        <v>346</v>
      </c>
      <c r="C1793" t="s">
        <v>254</v>
      </c>
      <c r="D1793" t="s">
        <v>384</v>
      </c>
      <c r="E1793">
        <v>6456</v>
      </c>
      <c r="F1793">
        <v>1388</v>
      </c>
      <c r="G1793">
        <v>95.86</v>
      </c>
      <c r="H1793">
        <v>1006</v>
      </c>
      <c r="I1793">
        <v>11459</v>
      </c>
      <c r="J1793">
        <v>121.83</v>
      </c>
      <c r="K1793">
        <v>109.3</v>
      </c>
    </row>
    <row r="1794" spans="1:11" x14ac:dyDescent="0.2">
      <c r="A1794" t="s">
        <v>342</v>
      </c>
      <c r="B1794" t="s">
        <v>346</v>
      </c>
      <c r="C1794" t="s">
        <v>267</v>
      </c>
      <c r="D1794" t="s">
        <v>384</v>
      </c>
      <c r="E1794">
        <v>4490</v>
      </c>
      <c r="F1794">
        <v>830</v>
      </c>
      <c r="G1794">
        <v>86.19</v>
      </c>
      <c r="H1794">
        <v>633</v>
      </c>
      <c r="I1794">
        <v>6965</v>
      </c>
      <c r="J1794">
        <v>117.18</v>
      </c>
      <c r="K1794">
        <v>110.27</v>
      </c>
    </row>
    <row r="1795" spans="1:11" x14ac:dyDescent="0.2">
      <c r="A1795" t="s">
        <v>342</v>
      </c>
      <c r="B1795" t="s">
        <v>346</v>
      </c>
      <c r="C1795" t="s">
        <v>356</v>
      </c>
      <c r="D1795" t="s">
        <v>384</v>
      </c>
      <c r="E1795">
        <v>3415</v>
      </c>
      <c r="F1795">
        <v>1079</v>
      </c>
      <c r="G1795">
        <v>120.95</v>
      </c>
      <c r="H1795">
        <v>348</v>
      </c>
      <c r="I1795">
        <v>5143</v>
      </c>
      <c r="J1795">
        <v>146.30000000000001</v>
      </c>
      <c r="K1795">
        <v>135.07</v>
      </c>
    </row>
    <row r="1796" spans="1:11" x14ac:dyDescent="0.2">
      <c r="A1796" t="s">
        <v>342</v>
      </c>
      <c r="B1796" t="s">
        <v>346</v>
      </c>
      <c r="C1796" t="s">
        <v>263</v>
      </c>
      <c r="D1796" t="s">
        <v>384</v>
      </c>
      <c r="E1796">
        <v>9050</v>
      </c>
      <c r="F1796">
        <v>2129</v>
      </c>
      <c r="G1796">
        <v>97.33</v>
      </c>
      <c r="H1796">
        <v>1388</v>
      </c>
      <c r="I1796">
        <v>14504</v>
      </c>
      <c r="J1796">
        <v>125</v>
      </c>
      <c r="K1796">
        <v>121.36</v>
      </c>
    </row>
    <row r="1797" spans="1:11" x14ac:dyDescent="0.2">
      <c r="A1797" t="s">
        <v>342</v>
      </c>
      <c r="B1797" t="s">
        <v>346</v>
      </c>
      <c r="C1797" t="s">
        <v>247</v>
      </c>
      <c r="D1797" t="s">
        <v>384</v>
      </c>
      <c r="E1797">
        <v>3073</v>
      </c>
      <c r="F1797">
        <v>1172</v>
      </c>
      <c r="G1797">
        <v>123.38</v>
      </c>
      <c r="H1797">
        <v>353</v>
      </c>
      <c r="I1797">
        <v>4420</v>
      </c>
      <c r="J1797">
        <v>161.1</v>
      </c>
      <c r="K1797">
        <v>139.76</v>
      </c>
    </row>
    <row r="1798" spans="1:11" x14ac:dyDescent="0.2">
      <c r="A1798" t="s">
        <v>342</v>
      </c>
      <c r="B1798" t="s">
        <v>346</v>
      </c>
      <c r="C1798" t="s">
        <v>276</v>
      </c>
      <c r="D1798" t="s">
        <v>384</v>
      </c>
      <c r="E1798">
        <v>780</v>
      </c>
      <c r="F1798">
        <v>170</v>
      </c>
      <c r="G1798">
        <v>93.44</v>
      </c>
      <c r="H1798">
        <v>145</v>
      </c>
      <c r="I1798">
        <v>1467</v>
      </c>
      <c r="J1798">
        <v>108.14</v>
      </c>
      <c r="K1798">
        <v>107.33</v>
      </c>
    </row>
    <row r="1799" spans="1:11" x14ac:dyDescent="0.2">
      <c r="A1799" t="s">
        <v>342</v>
      </c>
      <c r="B1799" t="s">
        <v>346</v>
      </c>
      <c r="C1799" t="s">
        <v>256</v>
      </c>
      <c r="D1799" t="s">
        <v>384</v>
      </c>
      <c r="E1799">
        <v>9326</v>
      </c>
      <c r="F1799">
        <v>2061</v>
      </c>
      <c r="G1799">
        <v>96.63</v>
      </c>
      <c r="H1799">
        <v>1246</v>
      </c>
      <c r="I1799">
        <v>14266</v>
      </c>
      <c r="J1799">
        <v>132.63</v>
      </c>
      <c r="K1799">
        <v>113.39</v>
      </c>
    </row>
    <row r="1800" spans="1:11" x14ac:dyDescent="0.2">
      <c r="A1800" t="s">
        <v>342</v>
      </c>
      <c r="B1800" t="s">
        <v>346</v>
      </c>
      <c r="C1800" t="s">
        <v>257</v>
      </c>
      <c r="D1800" t="s">
        <v>384</v>
      </c>
      <c r="E1800">
        <v>1075</v>
      </c>
      <c r="F1800">
        <v>196</v>
      </c>
      <c r="G1800">
        <v>86.72</v>
      </c>
      <c r="H1800">
        <v>179</v>
      </c>
      <c r="I1800">
        <v>1860</v>
      </c>
      <c r="J1800">
        <v>108.65</v>
      </c>
      <c r="K1800">
        <v>107.5</v>
      </c>
    </row>
    <row r="1801" spans="1:11" x14ac:dyDescent="0.2">
      <c r="A1801" t="s">
        <v>342</v>
      </c>
      <c r="B1801" t="s">
        <v>346</v>
      </c>
      <c r="C1801" t="s">
        <v>259</v>
      </c>
      <c r="D1801" t="s">
        <v>384</v>
      </c>
      <c r="E1801">
        <v>9628</v>
      </c>
      <c r="F1801">
        <v>1858</v>
      </c>
      <c r="G1801">
        <v>88.18</v>
      </c>
      <c r="H1801">
        <v>1379</v>
      </c>
      <c r="I1801">
        <v>14526</v>
      </c>
      <c r="J1801">
        <v>120.25</v>
      </c>
      <c r="K1801">
        <v>106.4</v>
      </c>
    </row>
    <row r="1802" spans="1:11" x14ac:dyDescent="0.2">
      <c r="A1802" t="s">
        <v>342</v>
      </c>
      <c r="B1802" t="s">
        <v>346</v>
      </c>
      <c r="C1802" t="s">
        <v>243</v>
      </c>
      <c r="D1802" t="s">
        <v>384</v>
      </c>
      <c r="E1802">
        <v>38549</v>
      </c>
      <c r="F1802">
        <v>7343</v>
      </c>
      <c r="G1802">
        <v>87.34</v>
      </c>
      <c r="H1802">
        <v>5021</v>
      </c>
      <c r="I1802">
        <v>57987</v>
      </c>
      <c r="J1802">
        <v>130.59</v>
      </c>
      <c r="K1802">
        <v>109.67</v>
      </c>
    </row>
    <row r="1803" spans="1:11" x14ac:dyDescent="0.2">
      <c r="A1803" t="s">
        <v>342</v>
      </c>
      <c r="B1803" t="s">
        <v>346</v>
      </c>
      <c r="C1803" t="s">
        <v>260</v>
      </c>
      <c r="D1803" t="s">
        <v>384</v>
      </c>
      <c r="E1803">
        <v>2110</v>
      </c>
      <c r="F1803">
        <v>387</v>
      </c>
      <c r="G1803">
        <v>84.91</v>
      </c>
      <c r="H1803">
        <v>270</v>
      </c>
      <c r="I1803">
        <v>3159</v>
      </c>
      <c r="J1803">
        <v>117.65</v>
      </c>
      <c r="K1803">
        <v>108.31</v>
      </c>
    </row>
    <row r="1804" spans="1:11" x14ac:dyDescent="0.2">
      <c r="A1804" t="s">
        <v>342</v>
      </c>
      <c r="B1804" t="s">
        <v>346</v>
      </c>
      <c r="C1804" t="s">
        <v>237</v>
      </c>
      <c r="D1804" t="s">
        <v>384</v>
      </c>
      <c r="E1804">
        <v>13573</v>
      </c>
      <c r="F1804">
        <v>3136</v>
      </c>
      <c r="G1804">
        <v>97.41</v>
      </c>
      <c r="H1804">
        <v>1818</v>
      </c>
      <c r="I1804">
        <v>20944</v>
      </c>
      <c r="J1804">
        <v>126.37</v>
      </c>
      <c r="K1804">
        <v>114.64</v>
      </c>
    </row>
    <row r="1805" spans="1:11" x14ac:dyDescent="0.2">
      <c r="A1805" t="s">
        <v>342</v>
      </c>
      <c r="B1805" t="s">
        <v>346</v>
      </c>
      <c r="C1805" t="s">
        <v>281</v>
      </c>
      <c r="D1805" t="s">
        <v>384</v>
      </c>
      <c r="E1805">
        <v>471</v>
      </c>
      <c r="F1805">
        <v>131</v>
      </c>
      <c r="G1805">
        <v>103.97</v>
      </c>
      <c r="H1805">
        <v>79</v>
      </c>
      <c r="I1805">
        <v>743</v>
      </c>
      <c r="J1805">
        <v>130.53</v>
      </c>
      <c r="K1805">
        <v>130.91</v>
      </c>
    </row>
    <row r="1806" spans="1:11" x14ac:dyDescent="0.2">
      <c r="A1806" t="s">
        <v>342</v>
      </c>
      <c r="B1806" t="s">
        <v>346</v>
      </c>
      <c r="C1806" t="s">
        <v>245</v>
      </c>
      <c r="D1806" t="s">
        <v>384</v>
      </c>
      <c r="E1806">
        <v>6607</v>
      </c>
      <c r="F1806">
        <v>1354</v>
      </c>
      <c r="G1806">
        <v>93.74</v>
      </c>
      <c r="H1806">
        <v>991</v>
      </c>
      <c r="I1806">
        <v>11880</v>
      </c>
      <c r="J1806">
        <v>114.49</v>
      </c>
      <c r="K1806">
        <v>103.43</v>
      </c>
    </row>
    <row r="1807" spans="1:11" x14ac:dyDescent="0.2">
      <c r="A1807" t="s">
        <v>342</v>
      </c>
      <c r="B1807" t="s">
        <v>346</v>
      </c>
      <c r="C1807" t="s">
        <v>232</v>
      </c>
      <c r="D1807" t="s">
        <v>384</v>
      </c>
      <c r="E1807">
        <v>4007</v>
      </c>
      <c r="F1807">
        <v>891</v>
      </c>
      <c r="G1807">
        <v>97.59</v>
      </c>
      <c r="H1807">
        <v>618</v>
      </c>
      <c r="I1807">
        <v>6585</v>
      </c>
      <c r="J1807">
        <v>114.61</v>
      </c>
      <c r="K1807">
        <v>110.38</v>
      </c>
    </row>
    <row r="1808" spans="1:11" x14ac:dyDescent="0.2">
      <c r="A1808" t="s">
        <v>342</v>
      </c>
      <c r="B1808" t="s">
        <v>346</v>
      </c>
      <c r="C1808" t="s">
        <v>253</v>
      </c>
      <c r="D1808" t="s">
        <v>384</v>
      </c>
      <c r="E1808">
        <v>2388</v>
      </c>
      <c r="F1808">
        <v>532</v>
      </c>
      <c r="G1808">
        <v>94.02</v>
      </c>
      <c r="H1808">
        <v>420</v>
      </c>
      <c r="I1808">
        <v>4054</v>
      </c>
      <c r="J1808">
        <v>122.2</v>
      </c>
      <c r="K1808">
        <v>117.13</v>
      </c>
    </row>
    <row r="1809" spans="1:11" x14ac:dyDescent="0.2">
      <c r="A1809" t="s">
        <v>342</v>
      </c>
      <c r="B1809" t="s">
        <v>346</v>
      </c>
      <c r="C1809" t="s">
        <v>235</v>
      </c>
      <c r="D1809" t="s">
        <v>384</v>
      </c>
      <c r="E1809">
        <v>772</v>
      </c>
      <c r="F1809">
        <v>181</v>
      </c>
      <c r="G1809">
        <v>95.41</v>
      </c>
      <c r="H1809">
        <v>123</v>
      </c>
      <c r="I1809">
        <v>1384</v>
      </c>
      <c r="J1809">
        <v>123.09</v>
      </c>
      <c r="K1809">
        <v>119.95</v>
      </c>
    </row>
    <row r="1810" spans="1:11" x14ac:dyDescent="0.2">
      <c r="A1810" t="s">
        <v>342</v>
      </c>
      <c r="B1810" t="s">
        <v>347</v>
      </c>
      <c r="C1810" t="s">
        <v>649</v>
      </c>
      <c r="D1810" t="s">
        <v>384</v>
      </c>
      <c r="E1810">
        <v>23557</v>
      </c>
      <c r="F1810">
        <v>5443</v>
      </c>
      <c r="G1810">
        <v>91.53</v>
      </c>
      <c r="H1810">
        <v>2968</v>
      </c>
      <c r="I1810">
        <v>35440</v>
      </c>
      <c r="J1810">
        <v>119.42</v>
      </c>
      <c r="K1810">
        <v>93.73</v>
      </c>
    </row>
    <row r="1811" spans="1:11" x14ac:dyDescent="0.2">
      <c r="A1811" t="s">
        <v>342</v>
      </c>
      <c r="B1811" t="s">
        <v>347</v>
      </c>
      <c r="C1811" t="s">
        <v>354</v>
      </c>
      <c r="D1811" t="s">
        <v>384</v>
      </c>
      <c r="E1811">
        <v>32</v>
      </c>
      <c r="F1811">
        <v>6</v>
      </c>
      <c r="G1811">
        <v>96.5</v>
      </c>
      <c r="H1811">
        <v>6</v>
      </c>
      <c r="I1811">
        <v>52</v>
      </c>
      <c r="J1811">
        <v>132.33000000000001</v>
      </c>
      <c r="K1811">
        <v>107.54</v>
      </c>
    </row>
    <row r="1812" spans="1:11" x14ac:dyDescent="0.2">
      <c r="A1812" t="s">
        <v>342</v>
      </c>
      <c r="B1812" t="s">
        <v>347</v>
      </c>
      <c r="C1812" t="s">
        <v>270</v>
      </c>
      <c r="D1812" t="s">
        <v>384</v>
      </c>
      <c r="E1812">
        <v>844</v>
      </c>
      <c r="F1812">
        <v>132</v>
      </c>
      <c r="G1812">
        <v>76.66</v>
      </c>
      <c r="H1812">
        <v>66</v>
      </c>
      <c r="I1812">
        <v>1104</v>
      </c>
      <c r="J1812">
        <v>87.38</v>
      </c>
      <c r="K1812">
        <v>68.650000000000006</v>
      </c>
    </row>
    <row r="1813" spans="1:11" x14ac:dyDescent="0.2">
      <c r="A1813" t="s">
        <v>342</v>
      </c>
      <c r="B1813" t="s">
        <v>347</v>
      </c>
      <c r="C1813" t="s">
        <v>231</v>
      </c>
      <c r="D1813" t="s">
        <v>384</v>
      </c>
      <c r="E1813">
        <v>367</v>
      </c>
      <c r="F1813">
        <v>70</v>
      </c>
      <c r="G1813">
        <v>85.4</v>
      </c>
      <c r="H1813">
        <v>49</v>
      </c>
      <c r="I1813">
        <v>519</v>
      </c>
      <c r="J1813">
        <v>96.53</v>
      </c>
      <c r="K1813">
        <v>63.16</v>
      </c>
    </row>
    <row r="1814" spans="1:11" x14ac:dyDescent="0.2">
      <c r="A1814" t="s">
        <v>342</v>
      </c>
      <c r="B1814" t="s">
        <v>347</v>
      </c>
      <c r="C1814" t="s">
        <v>261</v>
      </c>
      <c r="D1814" t="s">
        <v>384</v>
      </c>
      <c r="E1814">
        <v>736</v>
      </c>
      <c r="F1814">
        <v>193</v>
      </c>
      <c r="G1814">
        <v>99.02</v>
      </c>
      <c r="H1814">
        <v>92</v>
      </c>
      <c r="I1814">
        <v>1108</v>
      </c>
      <c r="J1814">
        <v>127.89</v>
      </c>
      <c r="K1814">
        <v>102.71</v>
      </c>
    </row>
    <row r="1815" spans="1:11" x14ac:dyDescent="0.2">
      <c r="A1815" t="s">
        <v>342</v>
      </c>
      <c r="B1815" t="s">
        <v>347</v>
      </c>
      <c r="C1815" t="s">
        <v>248</v>
      </c>
      <c r="D1815" t="s">
        <v>384</v>
      </c>
      <c r="E1815">
        <v>2428</v>
      </c>
      <c r="F1815">
        <v>653</v>
      </c>
      <c r="G1815">
        <v>97.47</v>
      </c>
      <c r="H1815">
        <v>306</v>
      </c>
      <c r="I1815">
        <v>3515</v>
      </c>
      <c r="J1815">
        <v>122.25</v>
      </c>
      <c r="K1815">
        <v>106.08</v>
      </c>
    </row>
    <row r="1816" spans="1:11" x14ac:dyDescent="0.2">
      <c r="A1816" t="s">
        <v>342</v>
      </c>
      <c r="B1816" t="s">
        <v>347</v>
      </c>
      <c r="C1816" t="s">
        <v>266</v>
      </c>
      <c r="D1816" t="s">
        <v>384</v>
      </c>
      <c r="E1816">
        <v>382</v>
      </c>
      <c r="F1816">
        <v>95</v>
      </c>
      <c r="G1816">
        <v>96.21</v>
      </c>
      <c r="H1816">
        <v>46</v>
      </c>
      <c r="I1816">
        <v>587</v>
      </c>
      <c r="J1816">
        <v>125.72</v>
      </c>
      <c r="K1816">
        <v>101.01</v>
      </c>
    </row>
    <row r="1817" spans="1:11" x14ac:dyDescent="0.2">
      <c r="A1817" t="s">
        <v>342</v>
      </c>
      <c r="B1817" t="s">
        <v>347</v>
      </c>
      <c r="C1817" t="s">
        <v>269</v>
      </c>
      <c r="D1817" t="s">
        <v>384</v>
      </c>
      <c r="E1817">
        <v>122</v>
      </c>
      <c r="F1817">
        <v>18</v>
      </c>
      <c r="G1817">
        <v>76.06</v>
      </c>
      <c r="H1817">
        <v>24</v>
      </c>
      <c r="I1817">
        <v>231</v>
      </c>
      <c r="J1817">
        <v>125.17</v>
      </c>
      <c r="K1817">
        <v>95.09</v>
      </c>
    </row>
    <row r="1818" spans="1:11" x14ac:dyDescent="0.2">
      <c r="A1818" t="s">
        <v>342</v>
      </c>
      <c r="B1818" t="s">
        <v>347</v>
      </c>
      <c r="C1818" t="s">
        <v>262</v>
      </c>
      <c r="D1818" t="s">
        <v>384</v>
      </c>
      <c r="E1818">
        <v>27</v>
      </c>
      <c r="F1818">
        <v>3</v>
      </c>
      <c r="G1818">
        <v>82.15</v>
      </c>
      <c r="H1818">
        <v>5</v>
      </c>
      <c r="I1818">
        <v>42</v>
      </c>
      <c r="J1818">
        <v>111</v>
      </c>
      <c r="K1818">
        <v>102.98</v>
      </c>
    </row>
    <row r="1819" spans="1:11" x14ac:dyDescent="0.2">
      <c r="A1819" t="s">
        <v>342</v>
      </c>
      <c r="B1819" t="s">
        <v>347</v>
      </c>
      <c r="C1819" t="s">
        <v>240</v>
      </c>
      <c r="D1819" t="s">
        <v>384</v>
      </c>
      <c r="E1819">
        <v>31</v>
      </c>
      <c r="F1819">
        <v>6</v>
      </c>
      <c r="G1819">
        <v>88.97</v>
      </c>
      <c r="H1819">
        <v>5</v>
      </c>
      <c r="I1819">
        <v>59</v>
      </c>
      <c r="J1819">
        <v>114.4</v>
      </c>
      <c r="K1819">
        <v>94.61</v>
      </c>
    </row>
    <row r="1820" spans="1:11" x14ac:dyDescent="0.2">
      <c r="A1820" t="s">
        <v>342</v>
      </c>
      <c r="B1820" t="s">
        <v>347</v>
      </c>
      <c r="C1820" t="s">
        <v>233</v>
      </c>
      <c r="D1820" t="s">
        <v>384</v>
      </c>
      <c r="E1820">
        <v>1459</v>
      </c>
      <c r="F1820">
        <v>351</v>
      </c>
      <c r="G1820">
        <v>90.77</v>
      </c>
      <c r="H1820">
        <v>192</v>
      </c>
      <c r="I1820">
        <v>2555</v>
      </c>
      <c r="J1820">
        <v>127.21</v>
      </c>
      <c r="K1820">
        <v>99.87</v>
      </c>
    </row>
    <row r="1821" spans="1:11" x14ac:dyDescent="0.2">
      <c r="A1821" t="s">
        <v>342</v>
      </c>
      <c r="B1821" t="s">
        <v>347</v>
      </c>
      <c r="C1821" t="s">
        <v>278</v>
      </c>
      <c r="D1821" t="s">
        <v>384</v>
      </c>
      <c r="E1821">
        <v>711</v>
      </c>
      <c r="F1821">
        <v>171</v>
      </c>
      <c r="G1821">
        <v>93.16</v>
      </c>
      <c r="H1821">
        <v>119</v>
      </c>
      <c r="I1821">
        <v>984</v>
      </c>
      <c r="J1821">
        <v>119.67</v>
      </c>
      <c r="K1821">
        <v>102.82</v>
      </c>
    </row>
    <row r="1822" spans="1:11" x14ac:dyDescent="0.2">
      <c r="A1822" t="s">
        <v>342</v>
      </c>
      <c r="B1822" t="s">
        <v>347</v>
      </c>
      <c r="C1822" t="s">
        <v>277</v>
      </c>
      <c r="D1822" t="s">
        <v>384</v>
      </c>
      <c r="E1822">
        <v>73</v>
      </c>
      <c r="F1822">
        <v>20</v>
      </c>
      <c r="G1822">
        <v>106.59</v>
      </c>
      <c r="H1822">
        <v>15</v>
      </c>
      <c r="I1822">
        <v>149</v>
      </c>
      <c r="J1822">
        <v>143.47</v>
      </c>
      <c r="K1822">
        <v>106.81</v>
      </c>
    </row>
    <row r="1823" spans="1:11" x14ac:dyDescent="0.2">
      <c r="A1823" t="s">
        <v>342</v>
      </c>
      <c r="B1823" t="s">
        <v>347</v>
      </c>
      <c r="C1823" t="s">
        <v>279</v>
      </c>
      <c r="D1823" t="s">
        <v>384</v>
      </c>
      <c r="E1823">
        <v>319</v>
      </c>
      <c r="F1823">
        <v>79</v>
      </c>
      <c r="G1823">
        <v>98.76</v>
      </c>
      <c r="H1823">
        <v>44</v>
      </c>
      <c r="I1823">
        <v>530</v>
      </c>
      <c r="J1823">
        <v>124.39</v>
      </c>
      <c r="K1823">
        <v>105.56</v>
      </c>
    </row>
    <row r="1824" spans="1:11" x14ac:dyDescent="0.2">
      <c r="A1824" t="s">
        <v>342</v>
      </c>
      <c r="B1824" t="s">
        <v>347</v>
      </c>
      <c r="C1824" t="s">
        <v>250</v>
      </c>
      <c r="D1824" t="s">
        <v>384</v>
      </c>
      <c r="E1824">
        <v>172</v>
      </c>
      <c r="F1824">
        <v>37</v>
      </c>
      <c r="G1824">
        <v>90.38</v>
      </c>
      <c r="H1824">
        <v>15</v>
      </c>
      <c r="I1824">
        <v>239</v>
      </c>
      <c r="J1824">
        <v>117.53</v>
      </c>
      <c r="K1824">
        <v>98.68</v>
      </c>
    </row>
    <row r="1825" spans="1:11" x14ac:dyDescent="0.2">
      <c r="A1825" t="s">
        <v>342</v>
      </c>
      <c r="B1825" t="s">
        <v>347</v>
      </c>
      <c r="C1825" t="s">
        <v>265</v>
      </c>
      <c r="D1825" t="s">
        <v>384</v>
      </c>
      <c r="E1825">
        <v>711</v>
      </c>
      <c r="F1825">
        <v>133</v>
      </c>
      <c r="G1825">
        <v>81.96</v>
      </c>
      <c r="H1825">
        <v>60</v>
      </c>
      <c r="I1825">
        <v>988</v>
      </c>
      <c r="J1825">
        <v>105.45</v>
      </c>
      <c r="K1825">
        <v>67.83</v>
      </c>
    </row>
    <row r="1826" spans="1:11" x14ac:dyDescent="0.2">
      <c r="A1826" t="s">
        <v>342</v>
      </c>
      <c r="B1826" t="s">
        <v>347</v>
      </c>
      <c r="C1826" t="s">
        <v>246</v>
      </c>
      <c r="D1826" t="s">
        <v>384</v>
      </c>
      <c r="E1826">
        <v>531</v>
      </c>
      <c r="F1826">
        <v>106</v>
      </c>
      <c r="G1826">
        <v>83.99</v>
      </c>
      <c r="H1826">
        <v>35</v>
      </c>
      <c r="I1826">
        <v>706</v>
      </c>
      <c r="J1826">
        <v>129.34</v>
      </c>
      <c r="K1826">
        <v>67.75</v>
      </c>
    </row>
    <row r="1827" spans="1:11" x14ac:dyDescent="0.2">
      <c r="A1827" t="s">
        <v>342</v>
      </c>
      <c r="B1827" t="s">
        <v>347</v>
      </c>
      <c r="C1827" t="s">
        <v>280</v>
      </c>
      <c r="D1827" t="s">
        <v>384</v>
      </c>
      <c r="E1827">
        <v>334</v>
      </c>
      <c r="F1827">
        <v>88</v>
      </c>
      <c r="G1827">
        <v>104.26</v>
      </c>
      <c r="H1827">
        <v>42</v>
      </c>
      <c r="I1827">
        <v>496</v>
      </c>
      <c r="J1827">
        <v>120.36</v>
      </c>
      <c r="K1827">
        <v>106.56</v>
      </c>
    </row>
    <row r="1828" spans="1:11" x14ac:dyDescent="0.2">
      <c r="A1828" t="s">
        <v>342</v>
      </c>
      <c r="B1828" t="s">
        <v>347</v>
      </c>
      <c r="C1828" t="s">
        <v>252</v>
      </c>
      <c r="D1828" t="s">
        <v>384</v>
      </c>
      <c r="E1828">
        <v>383</v>
      </c>
      <c r="F1828">
        <v>64</v>
      </c>
      <c r="G1828">
        <v>84.34</v>
      </c>
      <c r="H1828">
        <v>35</v>
      </c>
      <c r="I1828">
        <v>602</v>
      </c>
      <c r="J1828">
        <v>103.51</v>
      </c>
      <c r="K1828">
        <v>61.32</v>
      </c>
    </row>
    <row r="1829" spans="1:11" x14ac:dyDescent="0.2">
      <c r="A1829" t="s">
        <v>342</v>
      </c>
      <c r="B1829" t="s">
        <v>347</v>
      </c>
      <c r="C1829" t="s">
        <v>236</v>
      </c>
      <c r="D1829" t="s">
        <v>384</v>
      </c>
      <c r="E1829">
        <v>568</v>
      </c>
      <c r="F1829">
        <v>91</v>
      </c>
      <c r="G1829">
        <v>77.459999999999994</v>
      </c>
      <c r="H1829">
        <v>47</v>
      </c>
      <c r="I1829">
        <v>694</v>
      </c>
      <c r="J1829">
        <v>94.19</v>
      </c>
      <c r="K1829">
        <v>68.150000000000006</v>
      </c>
    </row>
    <row r="1830" spans="1:11" x14ac:dyDescent="0.2">
      <c r="A1830" t="s">
        <v>342</v>
      </c>
      <c r="B1830" t="s">
        <v>347</v>
      </c>
      <c r="C1830" t="s">
        <v>241</v>
      </c>
      <c r="D1830" t="s">
        <v>384</v>
      </c>
      <c r="E1830">
        <v>202</v>
      </c>
      <c r="F1830">
        <v>47</v>
      </c>
      <c r="G1830">
        <v>93.28</v>
      </c>
      <c r="H1830">
        <v>45</v>
      </c>
      <c r="I1830">
        <v>353</v>
      </c>
      <c r="J1830">
        <v>124.84</v>
      </c>
      <c r="K1830">
        <v>101.31</v>
      </c>
    </row>
    <row r="1831" spans="1:11" x14ac:dyDescent="0.2">
      <c r="A1831" t="s">
        <v>342</v>
      </c>
      <c r="B1831" t="s">
        <v>347</v>
      </c>
      <c r="C1831" t="s">
        <v>258</v>
      </c>
      <c r="D1831" t="s">
        <v>384</v>
      </c>
      <c r="E1831">
        <v>248</v>
      </c>
      <c r="F1831">
        <v>61</v>
      </c>
      <c r="G1831">
        <v>89.96</v>
      </c>
      <c r="H1831">
        <v>31</v>
      </c>
      <c r="I1831">
        <v>381</v>
      </c>
      <c r="J1831">
        <v>124.13</v>
      </c>
      <c r="K1831">
        <v>106.01</v>
      </c>
    </row>
    <row r="1832" spans="1:11" x14ac:dyDescent="0.2">
      <c r="A1832" t="s">
        <v>342</v>
      </c>
      <c r="B1832" t="s">
        <v>347</v>
      </c>
      <c r="C1832" t="s">
        <v>268</v>
      </c>
      <c r="D1832" t="s">
        <v>384</v>
      </c>
      <c r="E1832">
        <v>51</v>
      </c>
      <c r="F1832">
        <v>12</v>
      </c>
      <c r="G1832">
        <v>92.57</v>
      </c>
      <c r="H1832">
        <v>10</v>
      </c>
      <c r="I1832">
        <v>99</v>
      </c>
      <c r="J1832">
        <v>84.8</v>
      </c>
      <c r="K1832">
        <v>79.12</v>
      </c>
    </row>
    <row r="1833" spans="1:11" x14ac:dyDescent="0.2">
      <c r="A1833" t="s">
        <v>342</v>
      </c>
      <c r="B1833" t="s">
        <v>347</v>
      </c>
      <c r="C1833" t="s">
        <v>242</v>
      </c>
      <c r="D1833" t="s">
        <v>384</v>
      </c>
      <c r="E1833">
        <v>732</v>
      </c>
      <c r="F1833">
        <v>119</v>
      </c>
      <c r="G1833">
        <v>82.37</v>
      </c>
      <c r="H1833">
        <v>76</v>
      </c>
      <c r="I1833">
        <v>1115</v>
      </c>
      <c r="J1833">
        <v>102.28</v>
      </c>
      <c r="K1833">
        <v>71.87</v>
      </c>
    </row>
    <row r="1834" spans="1:11" x14ac:dyDescent="0.2">
      <c r="A1834" t="s">
        <v>342</v>
      </c>
      <c r="B1834" t="s">
        <v>347</v>
      </c>
      <c r="C1834" t="s">
        <v>249</v>
      </c>
      <c r="D1834" t="s">
        <v>384</v>
      </c>
      <c r="E1834">
        <v>321</v>
      </c>
      <c r="F1834">
        <v>92</v>
      </c>
      <c r="G1834">
        <v>101.4</v>
      </c>
      <c r="H1834">
        <v>60</v>
      </c>
      <c r="I1834">
        <v>574</v>
      </c>
      <c r="J1834">
        <v>121.92</v>
      </c>
      <c r="K1834">
        <v>96.75</v>
      </c>
    </row>
    <row r="1835" spans="1:11" x14ac:dyDescent="0.2">
      <c r="A1835" t="s">
        <v>342</v>
      </c>
      <c r="B1835" t="s">
        <v>347</v>
      </c>
      <c r="C1835" t="s">
        <v>255</v>
      </c>
      <c r="D1835" t="s">
        <v>384</v>
      </c>
      <c r="E1835">
        <v>630</v>
      </c>
      <c r="F1835">
        <v>134</v>
      </c>
      <c r="G1835">
        <v>90.89</v>
      </c>
      <c r="H1835">
        <v>54</v>
      </c>
      <c r="I1835">
        <v>869</v>
      </c>
      <c r="J1835">
        <v>100.09</v>
      </c>
      <c r="K1835">
        <v>68.25</v>
      </c>
    </row>
    <row r="1836" spans="1:11" x14ac:dyDescent="0.2">
      <c r="A1836" t="s">
        <v>342</v>
      </c>
      <c r="B1836" t="s">
        <v>347</v>
      </c>
      <c r="C1836" t="s">
        <v>271</v>
      </c>
      <c r="D1836" t="s">
        <v>384</v>
      </c>
      <c r="E1836">
        <v>322</v>
      </c>
      <c r="F1836">
        <v>51</v>
      </c>
      <c r="G1836">
        <v>81.96</v>
      </c>
      <c r="H1836">
        <v>28</v>
      </c>
      <c r="I1836">
        <v>480</v>
      </c>
      <c r="J1836">
        <v>119.75</v>
      </c>
      <c r="K1836">
        <v>88</v>
      </c>
    </row>
    <row r="1837" spans="1:11" x14ac:dyDescent="0.2">
      <c r="A1837" t="s">
        <v>342</v>
      </c>
      <c r="B1837" t="s">
        <v>347</v>
      </c>
      <c r="C1837" t="s">
        <v>274</v>
      </c>
      <c r="D1837" t="s">
        <v>384</v>
      </c>
      <c r="E1837">
        <v>120</v>
      </c>
      <c r="F1837">
        <v>31</v>
      </c>
      <c r="G1837">
        <v>101.97</v>
      </c>
      <c r="H1837">
        <v>18</v>
      </c>
      <c r="I1837">
        <v>186</v>
      </c>
      <c r="J1837">
        <v>109.44</v>
      </c>
      <c r="K1837">
        <v>90.94</v>
      </c>
    </row>
    <row r="1838" spans="1:11" x14ac:dyDescent="0.2">
      <c r="A1838" t="s">
        <v>342</v>
      </c>
      <c r="B1838" t="s">
        <v>347</v>
      </c>
      <c r="C1838" t="s">
        <v>264</v>
      </c>
      <c r="D1838" t="s">
        <v>384</v>
      </c>
      <c r="E1838">
        <v>536</v>
      </c>
      <c r="F1838">
        <v>120</v>
      </c>
      <c r="G1838">
        <v>87.39</v>
      </c>
      <c r="H1838">
        <v>80</v>
      </c>
      <c r="I1838">
        <v>861</v>
      </c>
      <c r="J1838">
        <v>115.24</v>
      </c>
      <c r="K1838">
        <v>104.19</v>
      </c>
    </row>
    <row r="1839" spans="1:11" x14ac:dyDescent="0.2">
      <c r="A1839" t="s">
        <v>342</v>
      </c>
      <c r="B1839" t="s">
        <v>347</v>
      </c>
      <c r="C1839" t="s">
        <v>239</v>
      </c>
      <c r="D1839" t="s">
        <v>384</v>
      </c>
      <c r="E1839">
        <v>43</v>
      </c>
      <c r="F1839">
        <v>15</v>
      </c>
      <c r="G1839">
        <v>107.47</v>
      </c>
      <c r="H1839">
        <v>5</v>
      </c>
      <c r="I1839">
        <v>83</v>
      </c>
      <c r="J1839">
        <v>122</v>
      </c>
      <c r="K1839">
        <v>101.34</v>
      </c>
    </row>
    <row r="1840" spans="1:11" x14ac:dyDescent="0.2">
      <c r="A1840" t="s">
        <v>342</v>
      </c>
      <c r="B1840" t="s">
        <v>347</v>
      </c>
      <c r="C1840" t="s">
        <v>238</v>
      </c>
      <c r="D1840" t="s">
        <v>384</v>
      </c>
      <c r="E1840">
        <v>113</v>
      </c>
      <c r="F1840">
        <v>23</v>
      </c>
      <c r="G1840">
        <v>90.04</v>
      </c>
      <c r="H1840">
        <v>19</v>
      </c>
      <c r="I1840">
        <v>206</v>
      </c>
      <c r="J1840">
        <v>136.94999999999999</v>
      </c>
      <c r="K1840">
        <v>102.49</v>
      </c>
    </row>
    <row r="1841" spans="1:11" x14ac:dyDescent="0.2">
      <c r="A1841" t="s">
        <v>342</v>
      </c>
      <c r="B1841" t="s">
        <v>347</v>
      </c>
      <c r="C1841" t="s">
        <v>275</v>
      </c>
      <c r="D1841" t="s">
        <v>384</v>
      </c>
      <c r="E1841">
        <v>61</v>
      </c>
      <c r="F1841">
        <v>14</v>
      </c>
      <c r="G1841">
        <v>87.56</v>
      </c>
      <c r="H1841">
        <v>12</v>
      </c>
      <c r="I1841">
        <v>117</v>
      </c>
      <c r="J1841">
        <v>120</v>
      </c>
      <c r="K1841">
        <v>106.22</v>
      </c>
    </row>
    <row r="1842" spans="1:11" x14ac:dyDescent="0.2">
      <c r="A1842" t="s">
        <v>342</v>
      </c>
      <c r="B1842" t="s">
        <v>347</v>
      </c>
      <c r="C1842" t="s">
        <v>273</v>
      </c>
      <c r="D1842" t="s">
        <v>384</v>
      </c>
      <c r="E1842">
        <v>352</v>
      </c>
      <c r="F1842">
        <v>74</v>
      </c>
      <c r="G1842">
        <v>84.29</v>
      </c>
      <c r="H1842">
        <v>43</v>
      </c>
      <c r="I1842">
        <v>421</v>
      </c>
      <c r="J1842">
        <v>134.28</v>
      </c>
      <c r="K1842">
        <v>100.99</v>
      </c>
    </row>
    <row r="1843" spans="1:11" x14ac:dyDescent="0.2">
      <c r="A1843" t="s">
        <v>342</v>
      </c>
      <c r="B1843" t="s">
        <v>347</v>
      </c>
      <c r="C1843" t="s">
        <v>234</v>
      </c>
      <c r="D1843" t="s">
        <v>384</v>
      </c>
      <c r="E1843">
        <v>217</v>
      </c>
      <c r="F1843">
        <v>63</v>
      </c>
      <c r="G1843">
        <v>101.63</v>
      </c>
      <c r="H1843">
        <v>34</v>
      </c>
      <c r="I1843">
        <v>304</v>
      </c>
      <c r="J1843">
        <v>127.5</v>
      </c>
      <c r="K1843">
        <v>104.59</v>
      </c>
    </row>
    <row r="1844" spans="1:11" x14ac:dyDescent="0.2">
      <c r="A1844" t="s">
        <v>342</v>
      </c>
      <c r="B1844" t="s">
        <v>347</v>
      </c>
      <c r="C1844" t="s">
        <v>244</v>
      </c>
      <c r="D1844" t="s">
        <v>384</v>
      </c>
      <c r="E1844">
        <v>264</v>
      </c>
      <c r="F1844">
        <v>61</v>
      </c>
      <c r="G1844">
        <v>93.62</v>
      </c>
      <c r="H1844">
        <v>36</v>
      </c>
      <c r="I1844">
        <v>422</v>
      </c>
      <c r="J1844">
        <v>119.69</v>
      </c>
      <c r="K1844">
        <v>101.21</v>
      </c>
    </row>
    <row r="1845" spans="1:11" x14ac:dyDescent="0.2">
      <c r="A1845" t="s">
        <v>342</v>
      </c>
      <c r="B1845" t="s">
        <v>347</v>
      </c>
      <c r="C1845" t="s">
        <v>251</v>
      </c>
      <c r="D1845" t="s">
        <v>384</v>
      </c>
      <c r="E1845">
        <v>695</v>
      </c>
      <c r="F1845">
        <v>160</v>
      </c>
      <c r="G1845">
        <v>89.27</v>
      </c>
      <c r="H1845">
        <v>105</v>
      </c>
      <c r="I1845">
        <v>1174</v>
      </c>
      <c r="J1845">
        <v>119.25</v>
      </c>
      <c r="K1845">
        <v>104.81</v>
      </c>
    </row>
    <row r="1846" spans="1:11" x14ac:dyDescent="0.2">
      <c r="A1846" t="s">
        <v>342</v>
      </c>
      <c r="B1846" t="s">
        <v>347</v>
      </c>
      <c r="C1846" t="s">
        <v>272</v>
      </c>
      <c r="D1846" t="s">
        <v>384</v>
      </c>
      <c r="E1846">
        <v>1072</v>
      </c>
      <c r="F1846">
        <v>197</v>
      </c>
      <c r="G1846">
        <v>86.4</v>
      </c>
      <c r="H1846">
        <v>79</v>
      </c>
      <c r="I1846">
        <v>1456</v>
      </c>
      <c r="J1846">
        <v>99.89</v>
      </c>
      <c r="K1846">
        <v>70.709999999999994</v>
      </c>
    </row>
    <row r="1847" spans="1:11" x14ac:dyDescent="0.2">
      <c r="A1847" t="s">
        <v>342</v>
      </c>
      <c r="B1847" t="s">
        <v>347</v>
      </c>
      <c r="C1847" t="s">
        <v>254</v>
      </c>
      <c r="D1847" t="s">
        <v>384</v>
      </c>
      <c r="E1847">
        <v>520</v>
      </c>
      <c r="F1847">
        <v>142</v>
      </c>
      <c r="G1847">
        <v>102.5</v>
      </c>
      <c r="H1847">
        <v>73</v>
      </c>
      <c r="I1847">
        <v>765</v>
      </c>
      <c r="J1847">
        <v>125.03</v>
      </c>
      <c r="K1847">
        <v>104.26</v>
      </c>
    </row>
    <row r="1848" spans="1:11" x14ac:dyDescent="0.2">
      <c r="A1848" t="s">
        <v>342</v>
      </c>
      <c r="B1848" t="s">
        <v>347</v>
      </c>
      <c r="C1848" t="s">
        <v>267</v>
      </c>
      <c r="D1848" t="s">
        <v>384</v>
      </c>
      <c r="E1848">
        <v>394</v>
      </c>
      <c r="F1848">
        <v>104</v>
      </c>
      <c r="G1848">
        <v>101.36</v>
      </c>
      <c r="H1848">
        <v>44</v>
      </c>
      <c r="I1848">
        <v>524</v>
      </c>
      <c r="J1848">
        <v>118.23</v>
      </c>
      <c r="K1848">
        <v>106.35</v>
      </c>
    </row>
    <row r="1849" spans="1:11" x14ac:dyDescent="0.2">
      <c r="A1849" t="s">
        <v>342</v>
      </c>
      <c r="B1849" t="s">
        <v>347</v>
      </c>
      <c r="C1849" t="s">
        <v>356</v>
      </c>
      <c r="D1849" t="s">
        <v>384</v>
      </c>
      <c r="E1849">
        <v>135</v>
      </c>
      <c r="F1849">
        <v>45</v>
      </c>
      <c r="G1849">
        <v>110.19</v>
      </c>
      <c r="H1849">
        <v>15</v>
      </c>
      <c r="I1849">
        <v>239</v>
      </c>
      <c r="J1849">
        <v>125.07</v>
      </c>
      <c r="K1849">
        <v>131.18</v>
      </c>
    </row>
    <row r="1850" spans="1:11" x14ac:dyDescent="0.2">
      <c r="A1850" t="s">
        <v>342</v>
      </c>
      <c r="B1850" t="s">
        <v>347</v>
      </c>
      <c r="C1850" t="s">
        <v>263</v>
      </c>
      <c r="D1850" t="s">
        <v>384</v>
      </c>
      <c r="E1850">
        <v>904</v>
      </c>
      <c r="F1850">
        <v>223</v>
      </c>
      <c r="G1850">
        <v>88.36</v>
      </c>
      <c r="H1850">
        <v>141</v>
      </c>
      <c r="I1850">
        <v>1333</v>
      </c>
      <c r="J1850">
        <v>125.88</v>
      </c>
      <c r="K1850">
        <v>100.8</v>
      </c>
    </row>
    <row r="1851" spans="1:11" x14ac:dyDescent="0.2">
      <c r="A1851" t="s">
        <v>342</v>
      </c>
      <c r="B1851" t="s">
        <v>347</v>
      </c>
      <c r="C1851" t="s">
        <v>247</v>
      </c>
      <c r="D1851" t="s">
        <v>384</v>
      </c>
      <c r="E1851">
        <v>200</v>
      </c>
      <c r="F1851">
        <v>46</v>
      </c>
      <c r="G1851">
        <v>88.23</v>
      </c>
      <c r="H1851">
        <v>58</v>
      </c>
      <c r="I1851">
        <v>569</v>
      </c>
      <c r="J1851">
        <v>130.78</v>
      </c>
      <c r="K1851">
        <v>112.64</v>
      </c>
    </row>
    <row r="1852" spans="1:11" x14ac:dyDescent="0.2">
      <c r="A1852" t="s">
        <v>342</v>
      </c>
      <c r="B1852" t="s">
        <v>347</v>
      </c>
      <c r="C1852" t="s">
        <v>276</v>
      </c>
      <c r="D1852" t="s">
        <v>384</v>
      </c>
      <c r="E1852">
        <v>42</v>
      </c>
      <c r="F1852">
        <v>11</v>
      </c>
      <c r="G1852">
        <v>92.88</v>
      </c>
      <c r="H1852">
        <v>7</v>
      </c>
      <c r="I1852">
        <v>85</v>
      </c>
      <c r="J1852">
        <v>143.13999999999999</v>
      </c>
      <c r="K1852">
        <v>90.31</v>
      </c>
    </row>
    <row r="1853" spans="1:11" x14ac:dyDescent="0.2">
      <c r="A1853" t="s">
        <v>342</v>
      </c>
      <c r="B1853" t="s">
        <v>347</v>
      </c>
      <c r="C1853" t="s">
        <v>256</v>
      </c>
      <c r="D1853" t="s">
        <v>384</v>
      </c>
      <c r="E1853">
        <v>408</v>
      </c>
      <c r="F1853">
        <v>104</v>
      </c>
      <c r="G1853">
        <v>93.98</v>
      </c>
      <c r="H1853">
        <v>59</v>
      </c>
      <c r="I1853">
        <v>615</v>
      </c>
      <c r="J1853">
        <v>111.39</v>
      </c>
      <c r="K1853">
        <v>98.07</v>
      </c>
    </row>
    <row r="1854" spans="1:11" x14ac:dyDescent="0.2">
      <c r="A1854" t="s">
        <v>342</v>
      </c>
      <c r="B1854" t="s">
        <v>347</v>
      </c>
      <c r="C1854" t="s">
        <v>257</v>
      </c>
      <c r="D1854" t="s">
        <v>384</v>
      </c>
      <c r="E1854">
        <v>62</v>
      </c>
      <c r="F1854">
        <v>16</v>
      </c>
      <c r="G1854">
        <v>103.84</v>
      </c>
      <c r="H1854">
        <v>13</v>
      </c>
      <c r="I1854">
        <v>117</v>
      </c>
      <c r="J1854">
        <v>120.54</v>
      </c>
      <c r="K1854">
        <v>123.47</v>
      </c>
    </row>
    <row r="1855" spans="1:11" x14ac:dyDescent="0.2">
      <c r="A1855" t="s">
        <v>342</v>
      </c>
      <c r="B1855" t="s">
        <v>347</v>
      </c>
      <c r="C1855" t="s">
        <v>259</v>
      </c>
      <c r="D1855" t="s">
        <v>384</v>
      </c>
      <c r="E1855">
        <v>785</v>
      </c>
      <c r="F1855">
        <v>126</v>
      </c>
      <c r="G1855">
        <v>82.17</v>
      </c>
      <c r="H1855">
        <v>64</v>
      </c>
      <c r="I1855">
        <v>984</v>
      </c>
      <c r="J1855">
        <v>111.38</v>
      </c>
      <c r="K1855">
        <v>71.47</v>
      </c>
    </row>
    <row r="1856" spans="1:11" x14ac:dyDescent="0.2">
      <c r="A1856" t="s">
        <v>342</v>
      </c>
      <c r="B1856" t="s">
        <v>347</v>
      </c>
      <c r="C1856" t="s">
        <v>243</v>
      </c>
      <c r="D1856" t="s">
        <v>384</v>
      </c>
      <c r="E1856">
        <v>2272</v>
      </c>
      <c r="F1856">
        <v>618</v>
      </c>
      <c r="G1856">
        <v>97.64</v>
      </c>
      <c r="H1856">
        <v>320</v>
      </c>
      <c r="I1856">
        <v>3378</v>
      </c>
      <c r="J1856">
        <v>129.63999999999999</v>
      </c>
      <c r="K1856">
        <v>105.1</v>
      </c>
    </row>
    <row r="1857" spans="1:11" x14ac:dyDescent="0.2">
      <c r="A1857" t="s">
        <v>342</v>
      </c>
      <c r="B1857" t="s">
        <v>347</v>
      </c>
      <c r="C1857" t="s">
        <v>260</v>
      </c>
      <c r="D1857" t="s">
        <v>384</v>
      </c>
      <c r="E1857">
        <v>204</v>
      </c>
      <c r="F1857">
        <v>59</v>
      </c>
      <c r="G1857">
        <v>98.4</v>
      </c>
      <c r="H1857">
        <v>38</v>
      </c>
      <c r="I1857">
        <v>341</v>
      </c>
      <c r="J1857">
        <v>117.13</v>
      </c>
      <c r="K1857">
        <v>104.01</v>
      </c>
    </row>
    <row r="1858" spans="1:11" x14ac:dyDescent="0.2">
      <c r="A1858" t="s">
        <v>342</v>
      </c>
      <c r="B1858" t="s">
        <v>347</v>
      </c>
      <c r="C1858" t="s">
        <v>237</v>
      </c>
      <c r="D1858" t="s">
        <v>384</v>
      </c>
      <c r="E1858">
        <v>397</v>
      </c>
      <c r="F1858">
        <v>107</v>
      </c>
      <c r="G1858">
        <v>93.49</v>
      </c>
      <c r="H1858">
        <v>61</v>
      </c>
      <c r="I1858">
        <v>529</v>
      </c>
      <c r="J1858">
        <v>118.25</v>
      </c>
      <c r="K1858">
        <v>104.46</v>
      </c>
    </row>
    <row r="1859" spans="1:11" x14ac:dyDescent="0.2">
      <c r="A1859" t="s">
        <v>342</v>
      </c>
      <c r="B1859" t="s">
        <v>347</v>
      </c>
      <c r="C1859" t="s">
        <v>281</v>
      </c>
      <c r="D1859" t="s">
        <v>384</v>
      </c>
      <c r="E1859">
        <v>15</v>
      </c>
      <c r="F1859">
        <v>3</v>
      </c>
      <c r="G1859">
        <v>80.2</v>
      </c>
      <c r="H1859">
        <v>2</v>
      </c>
      <c r="I1859">
        <v>27</v>
      </c>
      <c r="J1859">
        <v>121</v>
      </c>
      <c r="K1859">
        <v>89.07</v>
      </c>
    </row>
    <row r="1860" spans="1:11" x14ac:dyDescent="0.2">
      <c r="A1860" t="s">
        <v>342</v>
      </c>
      <c r="B1860" t="s">
        <v>347</v>
      </c>
      <c r="C1860" t="s">
        <v>245</v>
      </c>
      <c r="D1860" t="s">
        <v>384</v>
      </c>
      <c r="E1860">
        <v>535</v>
      </c>
      <c r="F1860">
        <v>171</v>
      </c>
      <c r="G1860">
        <v>105.96</v>
      </c>
      <c r="H1860">
        <v>82</v>
      </c>
      <c r="I1860">
        <v>842</v>
      </c>
      <c r="J1860">
        <v>128.88999999999999</v>
      </c>
      <c r="K1860">
        <v>99.3</v>
      </c>
    </row>
    <row r="1861" spans="1:11" x14ac:dyDescent="0.2">
      <c r="A1861" t="s">
        <v>342</v>
      </c>
      <c r="B1861" t="s">
        <v>347</v>
      </c>
      <c r="C1861" t="s">
        <v>232</v>
      </c>
      <c r="D1861" t="s">
        <v>384</v>
      </c>
      <c r="E1861">
        <v>338</v>
      </c>
      <c r="F1861">
        <v>46</v>
      </c>
      <c r="G1861">
        <v>79.75</v>
      </c>
      <c r="H1861">
        <v>34</v>
      </c>
      <c r="I1861">
        <v>607</v>
      </c>
      <c r="J1861">
        <v>99.56</v>
      </c>
      <c r="K1861">
        <v>69.31</v>
      </c>
    </row>
    <row r="1862" spans="1:11" x14ac:dyDescent="0.2">
      <c r="A1862" t="s">
        <v>342</v>
      </c>
      <c r="B1862" t="s">
        <v>347</v>
      </c>
      <c r="C1862" t="s">
        <v>253</v>
      </c>
      <c r="D1862" t="s">
        <v>384</v>
      </c>
      <c r="E1862">
        <v>98</v>
      </c>
      <c r="F1862">
        <v>22</v>
      </c>
      <c r="G1862">
        <v>100.73</v>
      </c>
      <c r="H1862">
        <v>16</v>
      </c>
      <c r="I1862">
        <v>167</v>
      </c>
      <c r="J1862">
        <v>109.06</v>
      </c>
      <c r="K1862">
        <v>90.53</v>
      </c>
    </row>
    <row r="1863" spans="1:11" x14ac:dyDescent="0.2">
      <c r="A1863" t="s">
        <v>342</v>
      </c>
      <c r="B1863" t="s">
        <v>347</v>
      </c>
      <c r="C1863" t="s">
        <v>235</v>
      </c>
      <c r="D1863" t="s">
        <v>384</v>
      </c>
      <c r="E1863">
        <v>39</v>
      </c>
      <c r="F1863">
        <v>10</v>
      </c>
      <c r="G1863">
        <v>93.13</v>
      </c>
      <c r="H1863">
        <v>3</v>
      </c>
      <c r="I1863">
        <v>57</v>
      </c>
      <c r="J1863">
        <v>106</v>
      </c>
      <c r="K1863">
        <v>109.77</v>
      </c>
    </row>
    <row r="1864" spans="1:11" x14ac:dyDescent="0.2">
      <c r="A1864" t="s">
        <v>342</v>
      </c>
      <c r="B1864" t="s">
        <v>348</v>
      </c>
      <c r="C1864" t="s">
        <v>649</v>
      </c>
      <c r="D1864" t="s">
        <v>384</v>
      </c>
      <c r="E1864">
        <v>525</v>
      </c>
      <c r="F1864">
        <v>129</v>
      </c>
      <c r="G1864">
        <v>106.7</v>
      </c>
      <c r="H1864">
        <v>81</v>
      </c>
      <c r="I1864">
        <v>1128</v>
      </c>
      <c r="J1864">
        <v>139.09</v>
      </c>
      <c r="K1864">
        <v>100.92</v>
      </c>
    </row>
    <row r="1865" spans="1:11" x14ac:dyDescent="0.2">
      <c r="A1865" t="s">
        <v>342</v>
      </c>
      <c r="B1865" t="s">
        <v>348</v>
      </c>
      <c r="C1865" t="s">
        <v>354</v>
      </c>
      <c r="D1865" t="s">
        <v>384</v>
      </c>
      <c r="I1865">
        <v>2</v>
      </c>
      <c r="K1865">
        <v>243.5</v>
      </c>
    </row>
    <row r="1866" spans="1:11" x14ac:dyDescent="0.2">
      <c r="A1866" t="s">
        <v>342</v>
      </c>
      <c r="B1866" t="s">
        <v>348</v>
      </c>
      <c r="C1866" t="s">
        <v>270</v>
      </c>
      <c r="D1866" t="s">
        <v>384</v>
      </c>
      <c r="E1866">
        <v>18</v>
      </c>
      <c r="F1866">
        <v>4</v>
      </c>
      <c r="G1866">
        <v>199.17</v>
      </c>
      <c r="H1866">
        <v>2</v>
      </c>
      <c r="I1866">
        <v>21</v>
      </c>
      <c r="J1866">
        <v>29.5</v>
      </c>
      <c r="K1866">
        <v>101.9</v>
      </c>
    </row>
    <row r="1867" spans="1:11" x14ac:dyDescent="0.2">
      <c r="A1867" t="s">
        <v>342</v>
      </c>
      <c r="B1867" t="s">
        <v>348</v>
      </c>
      <c r="C1867" t="s">
        <v>231</v>
      </c>
      <c r="D1867" t="s">
        <v>384</v>
      </c>
      <c r="E1867">
        <v>5</v>
      </c>
      <c r="F1867">
        <v>2</v>
      </c>
      <c r="G1867">
        <v>118.2</v>
      </c>
      <c r="H1867">
        <v>1</v>
      </c>
      <c r="I1867">
        <v>5</v>
      </c>
      <c r="J1867">
        <v>108</v>
      </c>
      <c r="K1867">
        <v>51.6</v>
      </c>
    </row>
    <row r="1868" spans="1:11" x14ac:dyDescent="0.2">
      <c r="A1868" t="s">
        <v>342</v>
      </c>
      <c r="B1868" t="s">
        <v>348</v>
      </c>
      <c r="C1868" t="s">
        <v>261</v>
      </c>
      <c r="D1868" t="s">
        <v>384</v>
      </c>
      <c r="E1868">
        <v>6</v>
      </c>
      <c r="F1868">
        <v>4</v>
      </c>
      <c r="G1868">
        <v>410.17</v>
      </c>
      <c r="I1868">
        <v>41</v>
      </c>
      <c r="K1868">
        <v>76.22</v>
      </c>
    </row>
    <row r="1869" spans="1:11" x14ac:dyDescent="0.2">
      <c r="A1869" t="s">
        <v>342</v>
      </c>
      <c r="B1869" t="s">
        <v>348</v>
      </c>
      <c r="C1869" t="s">
        <v>248</v>
      </c>
      <c r="D1869" t="s">
        <v>384</v>
      </c>
      <c r="E1869">
        <v>62</v>
      </c>
      <c r="F1869">
        <v>9</v>
      </c>
      <c r="G1869">
        <v>77.95</v>
      </c>
      <c r="H1869">
        <v>9</v>
      </c>
      <c r="I1869">
        <v>89</v>
      </c>
      <c r="J1869">
        <v>104.11</v>
      </c>
      <c r="K1869">
        <v>88.98</v>
      </c>
    </row>
    <row r="1870" spans="1:11" x14ac:dyDescent="0.2">
      <c r="A1870" t="s">
        <v>342</v>
      </c>
      <c r="B1870" t="s">
        <v>348</v>
      </c>
      <c r="C1870" t="s">
        <v>266</v>
      </c>
      <c r="D1870" t="s">
        <v>384</v>
      </c>
      <c r="E1870">
        <v>8</v>
      </c>
      <c r="F1870">
        <v>2</v>
      </c>
      <c r="G1870">
        <v>118.25</v>
      </c>
      <c r="I1870">
        <v>21</v>
      </c>
      <c r="K1870">
        <v>95.14</v>
      </c>
    </row>
    <row r="1871" spans="1:11" x14ac:dyDescent="0.2">
      <c r="A1871" t="s">
        <v>342</v>
      </c>
      <c r="B1871" t="s">
        <v>348</v>
      </c>
      <c r="C1871" t="s">
        <v>269</v>
      </c>
      <c r="D1871" t="s">
        <v>384</v>
      </c>
      <c r="E1871">
        <v>3</v>
      </c>
      <c r="G1871">
        <v>31</v>
      </c>
      <c r="I1871">
        <v>4</v>
      </c>
      <c r="K1871">
        <v>56</v>
      </c>
    </row>
    <row r="1872" spans="1:11" x14ac:dyDescent="0.2">
      <c r="A1872" t="s">
        <v>342</v>
      </c>
      <c r="B1872" t="s">
        <v>348</v>
      </c>
      <c r="C1872" t="s">
        <v>262</v>
      </c>
      <c r="D1872" t="s">
        <v>384</v>
      </c>
      <c r="E1872">
        <v>2</v>
      </c>
      <c r="G1872">
        <v>68</v>
      </c>
      <c r="I1872">
        <v>2</v>
      </c>
      <c r="K1872">
        <v>26</v>
      </c>
    </row>
    <row r="1873" spans="1:11" x14ac:dyDescent="0.2">
      <c r="A1873" t="s">
        <v>342</v>
      </c>
      <c r="B1873" t="s">
        <v>348</v>
      </c>
      <c r="C1873" t="s">
        <v>233</v>
      </c>
      <c r="D1873" t="s">
        <v>384</v>
      </c>
      <c r="E1873">
        <v>50</v>
      </c>
      <c r="F1873">
        <v>13</v>
      </c>
      <c r="G1873">
        <v>114.8</v>
      </c>
      <c r="H1873">
        <v>9</v>
      </c>
      <c r="I1873">
        <v>125</v>
      </c>
      <c r="J1873">
        <v>42.89</v>
      </c>
      <c r="K1873">
        <v>97.43</v>
      </c>
    </row>
    <row r="1874" spans="1:11" x14ac:dyDescent="0.2">
      <c r="A1874" t="s">
        <v>342</v>
      </c>
      <c r="B1874" t="s">
        <v>348</v>
      </c>
      <c r="C1874" t="s">
        <v>278</v>
      </c>
      <c r="D1874" t="s">
        <v>384</v>
      </c>
      <c r="E1874">
        <v>25</v>
      </c>
      <c r="F1874">
        <v>8</v>
      </c>
      <c r="G1874">
        <v>119.6</v>
      </c>
      <c r="H1874">
        <v>3</v>
      </c>
      <c r="I1874">
        <v>95</v>
      </c>
      <c r="J1874">
        <v>146.66999999999999</v>
      </c>
      <c r="K1874">
        <v>79.66</v>
      </c>
    </row>
    <row r="1875" spans="1:11" x14ac:dyDescent="0.2">
      <c r="A1875" t="s">
        <v>342</v>
      </c>
      <c r="B1875" t="s">
        <v>348</v>
      </c>
      <c r="C1875" t="s">
        <v>277</v>
      </c>
      <c r="D1875" t="s">
        <v>384</v>
      </c>
      <c r="E1875">
        <v>3</v>
      </c>
      <c r="G1875">
        <v>56</v>
      </c>
      <c r="I1875">
        <v>6</v>
      </c>
      <c r="K1875">
        <v>114.83</v>
      </c>
    </row>
    <row r="1876" spans="1:11" x14ac:dyDescent="0.2">
      <c r="A1876" t="s">
        <v>342</v>
      </c>
      <c r="B1876" t="s">
        <v>348</v>
      </c>
      <c r="C1876" t="s">
        <v>279</v>
      </c>
      <c r="D1876" t="s">
        <v>384</v>
      </c>
      <c r="E1876">
        <v>5</v>
      </c>
      <c r="G1876">
        <v>44.6</v>
      </c>
      <c r="I1876">
        <v>10</v>
      </c>
      <c r="K1876">
        <v>57.6</v>
      </c>
    </row>
    <row r="1877" spans="1:11" x14ac:dyDescent="0.2">
      <c r="A1877" t="s">
        <v>342</v>
      </c>
      <c r="B1877" t="s">
        <v>348</v>
      </c>
      <c r="C1877" t="s">
        <v>250</v>
      </c>
      <c r="D1877" t="s">
        <v>384</v>
      </c>
      <c r="E1877">
        <v>1</v>
      </c>
      <c r="G1877">
        <v>18</v>
      </c>
      <c r="H1877">
        <v>1</v>
      </c>
      <c r="I1877">
        <v>7</v>
      </c>
      <c r="J1877">
        <v>26</v>
      </c>
      <c r="K1877">
        <v>79.14</v>
      </c>
    </row>
    <row r="1878" spans="1:11" x14ac:dyDescent="0.2">
      <c r="A1878" t="s">
        <v>342</v>
      </c>
      <c r="B1878" t="s">
        <v>348</v>
      </c>
      <c r="C1878" t="s">
        <v>265</v>
      </c>
      <c r="D1878" t="s">
        <v>384</v>
      </c>
      <c r="E1878">
        <v>9</v>
      </c>
      <c r="F1878">
        <v>1</v>
      </c>
      <c r="G1878">
        <v>61.22</v>
      </c>
      <c r="H1878">
        <v>3</v>
      </c>
      <c r="I1878">
        <v>15</v>
      </c>
      <c r="J1878">
        <v>51</v>
      </c>
      <c r="K1878">
        <v>107.33</v>
      </c>
    </row>
    <row r="1879" spans="1:11" x14ac:dyDescent="0.2">
      <c r="A1879" t="s">
        <v>342</v>
      </c>
      <c r="B1879" t="s">
        <v>348</v>
      </c>
      <c r="C1879" t="s">
        <v>246</v>
      </c>
      <c r="D1879" t="s">
        <v>384</v>
      </c>
      <c r="E1879">
        <v>20</v>
      </c>
      <c r="F1879">
        <v>5</v>
      </c>
      <c r="G1879">
        <v>78.400000000000006</v>
      </c>
      <c r="H1879">
        <v>3</v>
      </c>
      <c r="I1879">
        <v>28</v>
      </c>
      <c r="J1879">
        <v>52.67</v>
      </c>
      <c r="K1879">
        <v>79.459999999999994</v>
      </c>
    </row>
    <row r="1880" spans="1:11" x14ac:dyDescent="0.2">
      <c r="A1880" t="s">
        <v>342</v>
      </c>
      <c r="B1880" t="s">
        <v>348</v>
      </c>
      <c r="C1880" t="s">
        <v>280</v>
      </c>
      <c r="D1880" t="s">
        <v>384</v>
      </c>
      <c r="E1880">
        <v>1</v>
      </c>
      <c r="G1880">
        <v>66</v>
      </c>
      <c r="I1880">
        <v>8</v>
      </c>
      <c r="K1880">
        <v>172.75</v>
      </c>
    </row>
    <row r="1881" spans="1:11" x14ac:dyDescent="0.2">
      <c r="A1881" t="s">
        <v>342</v>
      </c>
      <c r="B1881" t="s">
        <v>348</v>
      </c>
      <c r="C1881" t="s">
        <v>252</v>
      </c>
      <c r="D1881" t="s">
        <v>384</v>
      </c>
      <c r="E1881">
        <v>17</v>
      </c>
      <c r="F1881">
        <v>2</v>
      </c>
      <c r="G1881">
        <v>56.41</v>
      </c>
      <c r="H1881">
        <v>2</v>
      </c>
      <c r="I1881">
        <v>27</v>
      </c>
      <c r="J1881">
        <v>52.5</v>
      </c>
      <c r="K1881">
        <v>74.33</v>
      </c>
    </row>
    <row r="1882" spans="1:11" x14ac:dyDescent="0.2">
      <c r="A1882" t="s">
        <v>342</v>
      </c>
      <c r="B1882" t="s">
        <v>348</v>
      </c>
      <c r="C1882" t="s">
        <v>236</v>
      </c>
      <c r="D1882" t="s">
        <v>384</v>
      </c>
      <c r="E1882">
        <v>8</v>
      </c>
      <c r="F1882">
        <v>1</v>
      </c>
      <c r="G1882">
        <v>69.13</v>
      </c>
      <c r="H1882">
        <v>1</v>
      </c>
      <c r="I1882">
        <v>21</v>
      </c>
      <c r="J1882">
        <v>119</v>
      </c>
      <c r="K1882">
        <v>157.05000000000001</v>
      </c>
    </row>
    <row r="1883" spans="1:11" x14ac:dyDescent="0.2">
      <c r="A1883" t="s">
        <v>342</v>
      </c>
      <c r="B1883" t="s">
        <v>348</v>
      </c>
      <c r="C1883" t="s">
        <v>241</v>
      </c>
      <c r="D1883" t="s">
        <v>384</v>
      </c>
      <c r="E1883">
        <v>9</v>
      </c>
      <c r="F1883">
        <v>4</v>
      </c>
      <c r="G1883">
        <v>114</v>
      </c>
      <c r="H1883">
        <v>2</v>
      </c>
      <c r="I1883">
        <v>13</v>
      </c>
      <c r="J1883">
        <v>121.5</v>
      </c>
      <c r="K1883">
        <v>120.85</v>
      </c>
    </row>
    <row r="1884" spans="1:11" x14ac:dyDescent="0.2">
      <c r="A1884" t="s">
        <v>342</v>
      </c>
      <c r="B1884" t="s">
        <v>348</v>
      </c>
      <c r="C1884" t="s">
        <v>258</v>
      </c>
      <c r="D1884" t="s">
        <v>384</v>
      </c>
      <c r="E1884">
        <v>19</v>
      </c>
      <c r="F1884">
        <v>10</v>
      </c>
      <c r="G1884">
        <v>138.88999999999999</v>
      </c>
      <c r="H1884">
        <v>2</v>
      </c>
      <c r="I1884">
        <v>32</v>
      </c>
      <c r="J1884">
        <v>107</v>
      </c>
      <c r="K1884">
        <v>129.47</v>
      </c>
    </row>
    <row r="1885" spans="1:11" x14ac:dyDescent="0.2">
      <c r="A1885" t="s">
        <v>342</v>
      </c>
      <c r="B1885" t="s">
        <v>348</v>
      </c>
      <c r="C1885" t="s">
        <v>268</v>
      </c>
      <c r="D1885" t="s">
        <v>384</v>
      </c>
      <c r="E1885">
        <v>5</v>
      </c>
      <c r="G1885">
        <v>75.8</v>
      </c>
      <c r="I1885">
        <v>2</v>
      </c>
      <c r="K1885">
        <v>54</v>
      </c>
    </row>
    <row r="1886" spans="1:11" x14ac:dyDescent="0.2">
      <c r="A1886" t="s">
        <v>342</v>
      </c>
      <c r="B1886" t="s">
        <v>348</v>
      </c>
      <c r="C1886" t="s">
        <v>242</v>
      </c>
      <c r="D1886" t="s">
        <v>384</v>
      </c>
      <c r="E1886">
        <v>8</v>
      </c>
      <c r="F1886">
        <v>2</v>
      </c>
      <c r="G1886">
        <v>75.38</v>
      </c>
      <c r="H1886">
        <v>4</v>
      </c>
      <c r="I1886">
        <v>36</v>
      </c>
      <c r="J1886">
        <v>98.25</v>
      </c>
      <c r="K1886">
        <v>69.31</v>
      </c>
    </row>
    <row r="1887" spans="1:11" x14ac:dyDescent="0.2">
      <c r="A1887" t="s">
        <v>342</v>
      </c>
      <c r="B1887" t="s">
        <v>348</v>
      </c>
      <c r="C1887" t="s">
        <v>249</v>
      </c>
      <c r="D1887" t="s">
        <v>384</v>
      </c>
      <c r="E1887">
        <v>5</v>
      </c>
      <c r="F1887">
        <v>2</v>
      </c>
      <c r="G1887">
        <v>131.4</v>
      </c>
      <c r="H1887">
        <v>1</v>
      </c>
      <c r="I1887">
        <v>8</v>
      </c>
      <c r="J1887">
        <v>101</v>
      </c>
      <c r="K1887">
        <v>134.38</v>
      </c>
    </row>
    <row r="1888" spans="1:11" x14ac:dyDescent="0.2">
      <c r="A1888" t="s">
        <v>342</v>
      </c>
      <c r="B1888" t="s">
        <v>348</v>
      </c>
      <c r="C1888" t="s">
        <v>255</v>
      </c>
      <c r="D1888" t="s">
        <v>384</v>
      </c>
      <c r="E1888">
        <v>11</v>
      </c>
      <c r="F1888">
        <v>5</v>
      </c>
      <c r="G1888">
        <v>114.91</v>
      </c>
      <c r="H1888">
        <v>2</v>
      </c>
      <c r="I1888">
        <v>18</v>
      </c>
      <c r="J1888">
        <v>12.5</v>
      </c>
      <c r="K1888">
        <v>134.56</v>
      </c>
    </row>
    <row r="1889" spans="1:11" x14ac:dyDescent="0.2">
      <c r="A1889" t="s">
        <v>342</v>
      </c>
      <c r="B1889" t="s">
        <v>348</v>
      </c>
      <c r="C1889" t="s">
        <v>271</v>
      </c>
      <c r="D1889" t="s">
        <v>384</v>
      </c>
      <c r="E1889">
        <v>14</v>
      </c>
      <c r="F1889">
        <v>3</v>
      </c>
      <c r="G1889">
        <v>118.21</v>
      </c>
      <c r="H1889">
        <v>1</v>
      </c>
      <c r="I1889">
        <v>14</v>
      </c>
      <c r="J1889">
        <v>57</v>
      </c>
      <c r="K1889">
        <v>88.71</v>
      </c>
    </row>
    <row r="1890" spans="1:11" x14ac:dyDescent="0.2">
      <c r="A1890" t="s">
        <v>342</v>
      </c>
      <c r="B1890" t="s">
        <v>348</v>
      </c>
      <c r="C1890" t="s">
        <v>274</v>
      </c>
      <c r="D1890" t="s">
        <v>384</v>
      </c>
      <c r="E1890">
        <v>3</v>
      </c>
      <c r="F1890">
        <v>1</v>
      </c>
      <c r="G1890">
        <v>140</v>
      </c>
      <c r="I1890">
        <v>4</v>
      </c>
      <c r="K1890">
        <v>39</v>
      </c>
    </row>
    <row r="1891" spans="1:11" x14ac:dyDescent="0.2">
      <c r="A1891" t="s">
        <v>342</v>
      </c>
      <c r="B1891" t="s">
        <v>348</v>
      </c>
      <c r="C1891" t="s">
        <v>264</v>
      </c>
      <c r="D1891" t="s">
        <v>384</v>
      </c>
      <c r="E1891">
        <v>25</v>
      </c>
      <c r="F1891">
        <v>8</v>
      </c>
      <c r="G1891">
        <v>110.52</v>
      </c>
      <c r="H1891">
        <v>6</v>
      </c>
      <c r="I1891">
        <v>46</v>
      </c>
      <c r="J1891">
        <v>168.17</v>
      </c>
      <c r="K1891">
        <v>111.37</v>
      </c>
    </row>
    <row r="1892" spans="1:11" x14ac:dyDescent="0.2">
      <c r="A1892" t="s">
        <v>342</v>
      </c>
      <c r="B1892" t="s">
        <v>348</v>
      </c>
      <c r="C1892" t="s">
        <v>239</v>
      </c>
      <c r="D1892" t="s">
        <v>384</v>
      </c>
      <c r="I1892">
        <v>4</v>
      </c>
      <c r="K1892">
        <v>97.5</v>
      </c>
    </row>
    <row r="1893" spans="1:11" x14ac:dyDescent="0.2">
      <c r="A1893" t="s">
        <v>342</v>
      </c>
      <c r="B1893" t="s">
        <v>348</v>
      </c>
      <c r="C1893" t="s">
        <v>238</v>
      </c>
      <c r="D1893" t="s">
        <v>384</v>
      </c>
      <c r="E1893">
        <v>2</v>
      </c>
      <c r="G1893">
        <v>31.5</v>
      </c>
      <c r="I1893">
        <v>4</v>
      </c>
      <c r="K1893">
        <v>119.25</v>
      </c>
    </row>
    <row r="1894" spans="1:11" x14ac:dyDescent="0.2">
      <c r="A1894" t="s">
        <v>342</v>
      </c>
      <c r="B1894" t="s">
        <v>348</v>
      </c>
      <c r="C1894" t="s">
        <v>275</v>
      </c>
      <c r="D1894" t="s">
        <v>384</v>
      </c>
      <c r="E1894">
        <v>2</v>
      </c>
      <c r="G1894">
        <v>45.5</v>
      </c>
      <c r="I1894">
        <v>1</v>
      </c>
      <c r="K1894">
        <v>90</v>
      </c>
    </row>
    <row r="1895" spans="1:11" x14ac:dyDescent="0.2">
      <c r="A1895" t="s">
        <v>342</v>
      </c>
      <c r="B1895" t="s">
        <v>348</v>
      </c>
      <c r="C1895" t="s">
        <v>273</v>
      </c>
      <c r="D1895" t="s">
        <v>384</v>
      </c>
      <c r="E1895">
        <v>4</v>
      </c>
      <c r="F1895">
        <v>2</v>
      </c>
      <c r="G1895">
        <v>225</v>
      </c>
      <c r="H1895">
        <v>2</v>
      </c>
      <c r="I1895">
        <v>10</v>
      </c>
      <c r="J1895">
        <v>237.5</v>
      </c>
      <c r="K1895">
        <v>125.5</v>
      </c>
    </row>
    <row r="1896" spans="1:11" x14ac:dyDescent="0.2">
      <c r="A1896" t="s">
        <v>342</v>
      </c>
      <c r="B1896" t="s">
        <v>348</v>
      </c>
      <c r="C1896" t="s">
        <v>234</v>
      </c>
      <c r="D1896" t="s">
        <v>384</v>
      </c>
      <c r="E1896">
        <v>2</v>
      </c>
      <c r="F1896">
        <v>1</v>
      </c>
      <c r="G1896">
        <v>142.5</v>
      </c>
      <c r="H1896">
        <v>1</v>
      </c>
      <c r="I1896">
        <v>4</v>
      </c>
      <c r="J1896">
        <v>171</v>
      </c>
      <c r="K1896">
        <v>109.75</v>
      </c>
    </row>
    <row r="1897" spans="1:11" x14ac:dyDescent="0.2">
      <c r="A1897" t="s">
        <v>342</v>
      </c>
      <c r="B1897" t="s">
        <v>348</v>
      </c>
      <c r="C1897" t="s">
        <v>244</v>
      </c>
      <c r="D1897" t="s">
        <v>384</v>
      </c>
      <c r="E1897">
        <v>10</v>
      </c>
      <c r="F1897">
        <v>3</v>
      </c>
      <c r="G1897">
        <v>155.69999999999999</v>
      </c>
      <c r="H1897">
        <v>2</v>
      </c>
      <c r="I1897">
        <v>16</v>
      </c>
      <c r="J1897">
        <v>77.5</v>
      </c>
      <c r="K1897">
        <v>73.69</v>
      </c>
    </row>
    <row r="1898" spans="1:11" x14ac:dyDescent="0.2">
      <c r="A1898" t="s">
        <v>342</v>
      </c>
      <c r="B1898" t="s">
        <v>348</v>
      </c>
      <c r="C1898" t="s">
        <v>251</v>
      </c>
      <c r="D1898" t="s">
        <v>384</v>
      </c>
      <c r="E1898">
        <v>3</v>
      </c>
      <c r="G1898">
        <v>25.67</v>
      </c>
      <c r="H1898">
        <v>2</v>
      </c>
      <c r="I1898">
        <v>18</v>
      </c>
      <c r="J1898">
        <v>230.5</v>
      </c>
      <c r="K1898">
        <v>99.56</v>
      </c>
    </row>
    <row r="1899" spans="1:11" x14ac:dyDescent="0.2">
      <c r="A1899" t="s">
        <v>342</v>
      </c>
      <c r="B1899" t="s">
        <v>348</v>
      </c>
      <c r="C1899" t="s">
        <v>272</v>
      </c>
      <c r="D1899" t="s">
        <v>384</v>
      </c>
      <c r="E1899">
        <v>17</v>
      </c>
      <c r="F1899">
        <v>3</v>
      </c>
      <c r="G1899">
        <v>112.35</v>
      </c>
      <c r="H1899">
        <v>1</v>
      </c>
      <c r="I1899">
        <v>30</v>
      </c>
      <c r="J1899">
        <v>15</v>
      </c>
      <c r="K1899">
        <v>84.6</v>
      </c>
    </row>
    <row r="1900" spans="1:11" x14ac:dyDescent="0.2">
      <c r="A1900" t="s">
        <v>342</v>
      </c>
      <c r="B1900" t="s">
        <v>348</v>
      </c>
      <c r="C1900" t="s">
        <v>254</v>
      </c>
      <c r="D1900" t="s">
        <v>384</v>
      </c>
      <c r="E1900">
        <v>7</v>
      </c>
      <c r="F1900">
        <v>1</v>
      </c>
      <c r="G1900">
        <v>71.430000000000007</v>
      </c>
      <c r="I1900">
        <v>12</v>
      </c>
      <c r="K1900">
        <v>169.33</v>
      </c>
    </row>
    <row r="1901" spans="1:11" x14ac:dyDescent="0.2">
      <c r="A1901" t="s">
        <v>342</v>
      </c>
      <c r="B1901" t="s">
        <v>348</v>
      </c>
      <c r="C1901" t="s">
        <v>267</v>
      </c>
      <c r="D1901" t="s">
        <v>384</v>
      </c>
      <c r="E1901">
        <v>6</v>
      </c>
      <c r="F1901">
        <v>1</v>
      </c>
      <c r="G1901">
        <v>85.67</v>
      </c>
      <c r="I1901">
        <v>6</v>
      </c>
      <c r="K1901">
        <v>119.33</v>
      </c>
    </row>
    <row r="1902" spans="1:11" x14ac:dyDescent="0.2">
      <c r="A1902" t="s">
        <v>342</v>
      </c>
      <c r="B1902" t="s">
        <v>348</v>
      </c>
      <c r="C1902" t="s">
        <v>356</v>
      </c>
      <c r="D1902" t="s">
        <v>384</v>
      </c>
      <c r="E1902">
        <v>1</v>
      </c>
      <c r="G1902">
        <v>51</v>
      </c>
      <c r="H1902">
        <v>2</v>
      </c>
      <c r="I1902">
        <v>14</v>
      </c>
      <c r="J1902">
        <v>32.5</v>
      </c>
      <c r="K1902">
        <v>35.5</v>
      </c>
    </row>
    <row r="1903" spans="1:11" x14ac:dyDescent="0.2">
      <c r="A1903" t="s">
        <v>342</v>
      </c>
      <c r="B1903" t="s">
        <v>348</v>
      </c>
      <c r="C1903" t="s">
        <v>263</v>
      </c>
      <c r="D1903" t="s">
        <v>384</v>
      </c>
      <c r="E1903">
        <v>11</v>
      </c>
      <c r="F1903">
        <v>5</v>
      </c>
      <c r="G1903">
        <v>125.64</v>
      </c>
      <c r="H1903">
        <v>1</v>
      </c>
      <c r="I1903">
        <v>25</v>
      </c>
      <c r="J1903">
        <v>93</v>
      </c>
      <c r="K1903">
        <v>104</v>
      </c>
    </row>
    <row r="1904" spans="1:11" x14ac:dyDescent="0.2">
      <c r="A1904" t="s">
        <v>342</v>
      </c>
      <c r="B1904" t="s">
        <v>348</v>
      </c>
      <c r="C1904" t="s">
        <v>247</v>
      </c>
      <c r="D1904" t="s">
        <v>384</v>
      </c>
      <c r="E1904">
        <v>6</v>
      </c>
      <c r="F1904">
        <v>4</v>
      </c>
      <c r="G1904">
        <v>181.33</v>
      </c>
      <c r="I1904">
        <v>11</v>
      </c>
      <c r="K1904">
        <v>142.63999999999999</v>
      </c>
    </row>
    <row r="1905" spans="1:11" x14ac:dyDescent="0.2">
      <c r="A1905" t="s">
        <v>342</v>
      </c>
      <c r="B1905" t="s">
        <v>348</v>
      </c>
      <c r="C1905" t="s">
        <v>276</v>
      </c>
      <c r="D1905" t="s">
        <v>384</v>
      </c>
      <c r="H1905">
        <v>1</v>
      </c>
      <c r="I1905">
        <v>4</v>
      </c>
      <c r="J1905">
        <v>95</v>
      </c>
      <c r="K1905">
        <v>71.5</v>
      </c>
    </row>
    <row r="1906" spans="1:11" x14ac:dyDescent="0.2">
      <c r="A1906" t="s">
        <v>342</v>
      </c>
      <c r="B1906" t="s">
        <v>348</v>
      </c>
      <c r="C1906" t="s">
        <v>256</v>
      </c>
      <c r="D1906" t="s">
        <v>384</v>
      </c>
      <c r="E1906">
        <v>14</v>
      </c>
      <c r="F1906">
        <v>1</v>
      </c>
      <c r="G1906">
        <v>74.930000000000007</v>
      </c>
      <c r="H1906">
        <v>3</v>
      </c>
      <c r="I1906">
        <v>18</v>
      </c>
      <c r="J1906">
        <v>770.67</v>
      </c>
      <c r="K1906">
        <v>274.39</v>
      </c>
    </row>
    <row r="1907" spans="1:11" x14ac:dyDescent="0.2">
      <c r="A1907" t="s">
        <v>342</v>
      </c>
      <c r="B1907" t="s">
        <v>348</v>
      </c>
      <c r="C1907" t="s">
        <v>257</v>
      </c>
      <c r="D1907" t="s">
        <v>384</v>
      </c>
      <c r="I1907">
        <v>7</v>
      </c>
      <c r="K1907">
        <v>166.71</v>
      </c>
    </row>
    <row r="1908" spans="1:11" x14ac:dyDescent="0.2">
      <c r="A1908" t="s">
        <v>342</v>
      </c>
      <c r="B1908" t="s">
        <v>348</v>
      </c>
      <c r="C1908" t="s">
        <v>259</v>
      </c>
      <c r="D1908" t="s">
        <v>384</v>
      </c>
      <c r="E1908">
        <v>12</v>
      </c>
      <c r="F1908">
        <v>1</v>
      </c>
      <c r="G1908">
        <v>73.17</v>
      </c>
      <c r="H1908">
        <v>3</v>
      </c>
      <c r="I1908">
        <v>37</v>
      </c>
      <c r="J1908">
        <v>98</v>
      </c>
      <c r="K1908">
        <v>101.49</v>
      </c>
    </row>
    <row r="1909" spans="1:11" x14ac:dyDescent="0.2">
      <c r="A1909" t="s">
        <v>342</v>
      </c>
      <c r="B1909" t="s">
        <v>348</v>
      </c>
      <c r="C1909" t="s">
        <v>243</v>
      </c>
      <c r="D1909" t="s">
        <v>384</v>
      </c>
      <c r="E1909">
        <v>47</v>
      </c>
      <c r="F1909">
        <v>13</v>
      </c>
      <c r="G1909">
        <v>102.96</v>
      </c>
      <c r="H1909">
        <v>8</v>
      </c>
      <c r="I1909">
        <v>134</v>
      </c>
      <c r="J1909">
        <v>320.38</v>
      </c>
      <c r="K1909">
        <v>101.22</v>
      </c>
    </row>
    <row r="1910" spans="1:11" x14ac:dyDescent="0.2">
      <c r="A1910" t="s">
        <v>342</v>
      </c>
      <c r="B1910" t="s">
        <v>348</v>
      </c>
      <c r="C1910" t="s">
        <v>260</v>
      </c>
      <c r="D1910" t="s">
        <v>384</v>
      </c>
      <c r="E1910">
        <v>1</v>
      </c>
      <c r="F1910">
        <v>1</v>
      </c>
      <c r="G1910">
        <v>185</v>
      </c>
      <c r="H1910">
        <v>1</v>
      </c>
      <c r="I1910">
        <v>4</v>
      </c>
      <c r="J1910">
        <v>16</v>
      </c>
      <c r="K1910">
        <v>177.75</v>
      </c>
    </row>
    <row r="1911" spans="1:11" x14ac:dyDescent="0.2">
      <c r="A1911" t="s">
        <v>342</v>
      </c>
      <c r="B1911" t="s">
        <v>348</v>
      </c>
      <c r="C1911" t="s">
        <v>237</v>
      </c>
      <c r="D1911" t="s">
        <v>384</v>
      </c>
      <c r="E1911">
        <v>18</v>
      </c>
      <c r="F1911">
        <v>3</v>
      </c>
      <c r="G1911">
        <v>80.89</v>
      </c>
      <c r="H1911">
        <v>1</v>
      </c>
      <c r="I1911">
        <v>26</v>
      </c>
      <c r="J1911">
        <v>11</v>
      </c>
      <c r="K1911">
        <v>148.85</v>
      </c>
    </row>
    <row r="1912" spans="1:11" x14ac:dyDescent="0.2">
      <c r="A1912" t="s">
        <v>342</v>
      </c>
      <c r="B1912" t="s">
        <v>348</v>
      </c>
      <c r="C1912" t="s">
        <v>245</v>
      </c>
      <c r="D1912" t="s">
        <v>384</v>
      </c>
      <c r="E1912">
        <v>12</v>
      </c>
      <c r="F1912">
        <v>2</v>
      </c>
      <c r="G1912">
        <v>76.83</v>
      </c>
      <c r="H1912">
        <v>1</v>
      </c>
      <c r="I1912">
        <v>27</v>
      </c>
      <c r="J1912">
        <v>7</v>
      </c>
      <c r="K1912">
        <v>84.37</v>
      </c>
    </row>
    <row r="1913" spans="1:11" x14ac:dyDescent="0.2">
      <c r="A1913" t="s">
        <v>342</v>
      </c>
      <c r="B1913" t="s">
        <v>348</v>
      </c>
      <c r="C1913" t="s">
        <v>232</v>
      </c>
      <c r="D1913" t="s">
        <v>384</v>
      </c>
      <c r="E1913">
        <v>6</v>
      </c>
      <c r="F1913">
        <v>2</v>
      </c>
      <c r="G1913">
        <v>215.33</v>
      </c>
      <c r="I1913">
        <v>6</v>
      </c>
      <c r="K1913">
        <v>52</v>
      </c>
    </row>
    <row r="1914" spans="1:11" x14ac:dyDescent="0.2">
      <c r="A1914" t="s">
        <v>342</v>
      </c>
      <c r="B1914" t="s">
        <v>348</v>
      </c>
      <c r="C1914" t="s">
        <v>253</v>
      </c>
      <c r="D1914" t="s">
        <v>384</v>
      </c>
      <c r="E1914">
        <v>1</v>
      </c>
      <c r="G1914">
        <v>3</v>
      </c>
      <c r="I1914">
        <v>8</v>
      </c>
      <c r="K1914">
        <v>71.38</v>
      </c>
    </row>
    <row r="1915" spans="1:11" x14ac:dyDescent="0.2">
      <c r="A1915" t="s">
        <v>342</v>
      </c>
      <c r="B1915" t="s">
        <v>348</v>
      </c>
      <c r="C1915" t="s">
        <v>235</v>
      </c>
      <c r="D1915" t="s">
        <v>384</v>
      </c>
      <c r="E1915">
        <v>1</v>
      </c>
      <c r="G1915">
        <v>90</v>
      </c>
      <c r="I1915">
        <v>2</v>
      </c>
      <c r="K1915">
        <v>92.5</v>
      </c>
    </row>
    <row r="1916" spans="1:11" x14ac:dyDescent="0.2">
      <c r="A1916" t="s">
        <v>342</v>
      </c>
      <c r="B1916" t="s">
        <v>349</v>
      </c>
      <c r="C1916" t="s">
        <v>649</v>
      </c>
      <c r="D1916" t="s">
        <v>384</v>
      </c>
      <c r="E1916">
        <v>15</v>
      </c>
      <c r="F1916">
        <v>6</v>
      </c>
      <c r="G1916">
        <v>176.27</v>
      </c>
      <c r="H1916">
        <v>4</v>
      </c>
      <c r="I1916">
        <v>55</v>
      </c>
      <c r="J1916">
        <v>818.25</v>
      </c>
      <c r="K1916">
        <v>366.13</v>
      </c>
    </row>
    <row r="1917" spans="1:11" x14ac:dyDescent="0.2">
      <c r="A1917" t="s">
        <v>342</v>
      </c>
      <c r="B1917" t="s">
        <v>349</v>
      </c>
      <c r="C1917" t="s">
        <v>354</v>
      </c>
      <c r="D1917" t="s">
        <v>384</v>
      </c>
      <c r="I1917">
        <v>1</v>
      </c>
      <c r="K1917">
        <v>497</v>
      </c>
    </row>
    <row r="1918" spans="1:11" x14ac:dyDescent="0.2">
      <c r="A1918" t="s">
        <v>342</v>
      </c>
      <c r="B1918" t="s">
        <v>349</v>
      </c>
      <c r="C1918" t="s">
        <v>270</v>
      </c>
      <c r="D1918" t="s">
        <v>384</v>
      </c>
      <c r="E1918">
        <v>1</v>
      </c>
      <c r="F1918">
        <v>1</v>
      </c>
      <c r="G1918">
        <v>562</v>
      </c>
    </row>
    <row r="1919" spans="1:11" x14ac:dyDescent="0.2">
      <c r="A1919" t="s">
        <v>342</v>
      </c>
      <c r="B1919" t="s">
        <v>349</v>
      </c>
      <c r="C1919" t="s">
        <v>261</v>
      </c>
      <c r="D1919" t="s">
        <v>384</v>
      </c>
      <c r="I1919">
        <v>1</v>
      </c>
      <c r="K1919">
        <v>396</v>
      </c>
    </row>
    <row r="1920" spans="1:11" x14ac:dyDescent="0.2">
      <c r="A1920" t="s">
        <v>342</v>
      </c>
      <c r="B1920" t="s">
        <v>349</v>
      </c>
      <c r="C1920" t="s">
        <v>248</v>
      </c>
      <c r="D1920" t="s">
        <v>384</v>
      </c>
      <c r="E1920">
        <v>4</v>
      </c>
      <c r="F1920">
        <v>1</v>
      </c>
      <c r="G1920">
        <v>56.25</v>
      </c>
      <c r="H1920">
        <v>1</v>
      </c>
      <c r="I1920">
        <v>12</v>
      </c>
      <c r="J1920">
        <v>1</v>
      </c>
      <c r="K1920">
        <v>229.75</v>
      </c>
    </row>
    <row r="1921" spans="1:11" x14ac:dyDescent="0.2">
      <c r="A1921" t="s">
        <v>342</v>
      </c>
      <c r="B1921" t="s">
        <v>349</v>
      </c>
      <c r="C1921" t="s">
        <v>266</v>
      </c>
      <c r="D1921" t="s">
        <v>384</v>
      </c>
      <c r="I1921">
        <v>4</v>
      </c>
      <c r="K1921">
        <v>338.5</v>
      </c>
    </row>
    <row r="1922" spans="1:11" x14ac:dyDescent="0.2">
      <c r="A1922" t="s">
        <v>342</v>
      </c>
      <c r="B1922" t="s">
        <v>349</v>
      </c>
      <c r="C1922" t="s">
        <v>233</v>
      </c>
      <c r="D1922" t="s">
        <v>384</v>
      </c>
      <c r="E1922">
        <v>3</v>
      </c>
      <c r="F1922">
        <v>1</v>
      </c>
      <c r="G1922">
        <v>66.67</v>
      </c>
      <c r="I1922">
        <v>3</v>
      </c>
      <c r="K1922">
        <v>369.67</v>
      </c>
    </row>
    <row r="1923" spans="1:11" x14ac:dyDescent="0.2">
      <c r="A1923" t="s">
        <v>342</v>
      </c>
      <c r="B1923" t="s">
        <v>349</v>
      </c>
      <c r="C1923" t="s">
        <v>278</v>
      </c>
      <c r="D1923" t="s">
        <v>384</v>
      </c>
      <c r="E1923">
        <v>2</v>
      </c>
      <c r="G1923">
        <v>38.5</v>
      </c>
      <c r="I1923">
        <v>1</v>
      </c>
      <c r="K1923">
        <v>658</v>
      </c>
    </row>
    <row r="1924" spans="1:11" x14ac:dyDescent="0.2">
      <c r="A1924" t="s">
        <v>342</v>
      </c>
      <c r="B1924" t="s">
        <v>349</v>
      </c>
      <c r="C1924" t="s">
        <v>277</v>
      </c>
      <c r="D1924" t="s">
        <v>384</v>
      </c>
      <c r="I1924">
        <v>1</v>
      </c>
      <c r="K1924">
        <v>1</v>
      </c>
    </row>
    <row r="1925" spans="1:11" x14ac:dyDescent="0.2">
      <c r="A1925" t="s">
        <v>342</v>
      </c>
      <c r="B1925" t="s">
        <v>349</v>
      </c>
      <c r="C1925" t="s">
        <v>279</v>
      </c>
      <c r="D1925" t="s">
        <v>384</v>
      </c>
      <c r="I1925">
        <v>1</v>
      </c>
      <c r="K1925">
        <v>775</v>
      </c>
    </row>
    <row r="1926" spans="1:11" x14ac:dyDescent="0.2">
      <c r="A1926" t="s">
        <v>342</v>
      </c>
      <c r="B1926" t="s">
        <v>349</v>
      </c>
      <c r="C1926" t="s">
        <v>250</v>
      </c>
      <c r="D1926" t="s">
        <v>384</v>
      </c>
      <c r="I1926">
        <v>1</v>
      </c>
      <c r="K1926">
        <v>430</v>
      </c>
    </row>
    <row r="1927" spans="1:11" x14ac:dyDescent="0.2">
      <c r="A1927" t="s">
        <v>342</v>
      </c>
      <c r="B1927" t="s">
        <v>349</v>
      </c>
      <c r="C1927" t="s">
        <v>265</v>
      </c>
      <c r="D1927" t="s">
        <v>384</v>
      </c>
      <c r="I1927">
        <v>1</v>
      </c>
      <c r="K1927">
        <v>378</v>
      </c>
    </row>
    <row r="1928" spans="1:11" x14ac:dyDescent="0.2">
      <c r="A1928" t="s">
        <v>342</v>
      </c>
      <c r="B1928" t="s">
        <v>349</v>
      </c>
      <c r="C1928" t="s">
        <v>280</v>
      </c>
      <c r="D1928" t="s">
        <v>384</v>
      </c>
      <c r="I1928">
        <v>1</v>
      </c>
      <c r="K1928">
        <v>310</v>
      </c>
    </row>
    <row r="1929" spans="1:11" x14ac:dyDescent="0.2">
      <c r="A1929" t="s">
        <v>342</v>
      </c>
      <c r="B1929" t="s">
        <v>349</v>
      </c>
      <c r="C1929" t="s">
        <v>252</v>
      </c>
      <c r="D1929" t="s">
        <v>384</v>
      </c>
      <c r="E1929">
        <v>1</v>
      </c>
      <c r="F1929">
        <v>1</v>
      </c>
      <c r="G1929">
        <v>681</v>
      </c>
    </row>
    <row r="1930" spans="1:11" x14ac:dyDescent="0.2">
      <c r="A1930" t="s">
        <v>342</v>
      </c>
      <c r="B1930" t="s">
        <v>349</v>
      </c>
      <c r="C1930" t="s">
        <v>258</v>
      </c>
      <c r="D1930" t="s">
        <v>384</v>
      </c>
      <c r="E1930">
        <v>2</v>
      </c>
      <c r="F1930">
        <v>1</v>
      </c>
      <c r="G1930">
        <v>212.5</v>
      </c>
      <c r="I1930">
        <v>3</v>
      </c>
      <c r="K1930">
        <v>350.67</v>
      </c>
    </row>
    <row r="1931" spans="1:11" x14ac:dyDescent="0.2">
      <c r="A1931" t="s">
        <v>342</v>
      </c>
      <c r="B1931" t="s">
        <v>349</v>
      </c>
      <c r="C1931" t="s">
        <v>255</v>
      </c>
      <c r="D1931" t="s">
        <v>384</v>
      </c>
      <c r="I1931">
        <v>1</v>
      </c>
      <c r="K1931">
        <v>1</v>
      </c>
    </row>
    <row r="1932" spans="1:11" x14ac:dyDescent="0.2">
      <c r="A1932" t="s">
        <v>342</v>
      </c>
      <c r="B1932" t="s">
        <v>349</v>
      </c>
      <c r="C1932" t="s">
        <v>264</v>
      </c>
      <c r="D1932" t="s">
        <v>384</v>
      </c>
      <c r="I1932">
        <v>5</v>
      </c>
      <c r="K1932">
        <v>275.2</v>
      </c>
    </row>
    <row r="1933" spans="1:11" x14ac:dyDescent="0.2">
      <c r="A1933" t="s">
        <v>342</v>
      </c>
      <c r="B1933" t="s">
        <v>349</v>
      </c>
      <c r="C1933" t="s">
        <v>275</v>
      </c>
      <c r="D1933" t="s">
        <v>384</v>
      </c>
      <c r="I1933">
        <v>1</v>
      </c>
      <c r="K1933">
        <v>562</v>
      </c>
    </row>
    <row r="1934" spans="1:11" x14ac:dyDescent="0.2">
      <c r="A1934" t="s">
        <v>342</v>
      </c>
      <c r="B1934" t="s">
        <v>349</v>
      </c>
      <c r="C1934" t="s">
        <v>273</v>
      </c>
      <c r="D1934" t="s">
        <v>384</v>
      </c>
      <c r="E1934">
        <v>1</v>
      </c>
      <c r="G1934">
        <v>34</v>
      </c>
    </row>
    <row r="1935" spans="1:11" x14ac:dyDescent="0.2">
      <c r="A1935" t="s">
        <v>342</v>
      </c>
      <c r="B1935" t="s">
        <v>349</v>
      </c>
      <c r="C1935" t="s">
        <v>263</v>
      </c>
      <c r="D1935" t="s">
        <v>384</v>
      </c>
      <c r="E1935">
        <v>1</v>
      </c>
      <c r="F1935">
        <v>1</v>
      </c>
      <c r="G1935">
        <v>440</v>
      </c>
      <c r="I1935">
        <v>1</v>
      </c>
      <c r="K1935">
        <v>340</v>
      </c>
    </row>
    <row r="1936" spans="1:11" x14ac:dyDescent="0.2">
      <c r="A1936" t="s">
        <v>342</v>
      </c>
      <c r="B1936" t="s">
        <v>349</v>
      </c>
      <c r="C1936" t="s">
        <v>256</v>
      </c>
      <c r="D1936" t="s">
        <v>384</v>
      </c>
      <c r="I1936">
        <v>1</v>
      </c>
      <c r="K1936">
        <v>346</v>
      </c>
    </row>
    <row r="1937" spans="1:11" x14ac:dyDescent="0.2">
      <c r="A1937" t="s">
        <v>342</v>
      </c>
      <c r="B1937" t="s">
        <v>349</v>
      </c>
      <c r="C1937" t="s">
        <v>259</v>
      </c>
      <c r="D1937" t="s">
        <v>384</v>
      </c>
      <c r="I1937">
        <v>1</v>
      </c>
      <c r="K1937">
        <v>574</v>
      </c>
    </row>
    <row r="1938" spans="1:11" x14ac:dyDescent="0.2">
      <c r="A1938" t="s">
        <v>342</v>
      </c>
      <c r="B1938" t="s">
        <v>349</v>
      </c>
      <c r="C1938" t="s">
        <v>243</v>
      </c>
      <c r="D1938" t="s">
        <v>384</v>
      </c>
      <c r="H1938">
        <v>3</v>
      </c>
      <c r="I1938">
        <v>8</v>
      </c>
      <c r="J1938">
        <v>1090.67</v>
      </c>
      <c r="K1938">
        <v>664.75</v>
      </c>
    </row>
    <row r="1939" spans="1:11" x14ac:dyDescent="0.2">
      <c r="A1939" t="s">
        <v>342</v>
      </c>
      <c r="B1939" t="s">
        <v>349</v>
      </c>
      <c r="C1939" t="s">
        <v>237</v>
      </c>
      <c r="D1939" t="s">
        <v>384</v>
      </c>
      <c r="I1939">
        <v>6</v>
      </c>
      <c r="K1939">
        <v>235.33</v>
      </c>
    </row>
    <row r="1940" spans="1:11" x14ac:dyDescent="0.2">
      <c r="A1940" t="s">
        <v>342</v>
      </c>
      <c r="B1940" t="s">
        <v>349</v>
      </c>
      <c r="C1940" t="s">
        <v>235</v>
      </c>
      <c r="D1940" t="s">
        <v>384</v>
      </c>
      <c r="I1940">
        <v>1</v>
      </c>
      <c r="K1940">
        <v>491</v>
      </c>
    </row>
    <row r="1941" spans="1:11" x14ac:dyDescent="0.2">
      <c r="A1941" t="s">
        <v>342</v>
      </c>
      <c r="B1941" t="s">
        <v>417</v>
      </c>
      <c r="C1941" t="s">
        <v>354</v>
      </c>
      <c r="D1941" t="s">
        <v>384</v>
      </c>
      <c r="E1941">
        <v>1125</v>
      </c>
      <c r="F1941">
        <v>306</v>
      </c>
      <c r="G1941">
        <v>107.89</v>
      </c>
      <c r="H1941">
        <v>198</v>
      </c>
      <c r="I1941">
        <v>1919</v>
      </c>
      <c r="J1941">
        <v>144.52000000000001</v>
      </c>
      <c r="K1941">
        <v>117.29</v>
      </c>
    </row>
    <row r="1942" spans="1:11" x14ac:dyDescent="0.2">
      <c r="A1942" t="s">
        <v>342</v>
      </c>
      <c r="B1942" t="s">
        <v>417</v>
      </c>
      <c r="C1942" t="s">
        <v>270</v>
      </c>
      <c r="D1942" t="s">
        <v>384</v>
      </c>
      <c r="E1942">
        <v>9126</v>
      </c>
      <c r="F1942">
        <v>1901</v>
      </c>
      <c r="G1942">
        <v>90.42</v>
      </c>
      <c r="H1942">
        <v>1157</v>
      </c>
      <c r="I1942">
        <v>13338</v>
      </c>
      <c r="J1942">
        <v>129.19999999999999</v>
      </c>
      <c r="K1942">
        <v>112.83</v>
      </c>
    </row>
    <row r="1943" spans="1:11" x14ac:dyDescent="0.2">
      <c r="A1943" t="s">
        <v>342</v>
      </c>
      <c r="B1943" t="s">
        <v>417</v>
      </c>
      <c r="C1943" t="s">
        <v>231</v>
      </c>
      <c r="D1943" t="s">
        <v>384</v>
      </c>
      <c r="E1943">
        <v>4097</v>
      </c>
      <c r="F1943">
        <v>824</v>
      </c>
      <c r="G1943">
        <v>91.93</v>
      </c>
      <c r="H1943">
        <v>560</v>
      </c>
      <c r="I1943">
        <v>6597</v>
      </c>
      <c r="J1943">
        <v>124.29</v>
      </c>
      <c r="K1943">
        <v>112.27</v>
      </c>
    </row>
    <row r="1944" spans="1:11" x14ac:dyDescent="0.2">
      <c r="A1944" t="s">
        <v>342</v>
      </c>
      <c r="B1944" t="s">
        <v>417</v>
      </c>
      <c r="C1944" t="s">
        <v>261</v>
      </c>
      <c r="D1944" t="s">
        <v>384</v>
      </c>
      <c r="E1944">
        <v>7642</v>
      </c>
      <c r="F1944">
        <v>1756</v>
      </c>
      <c r="G1944">
        <v>97.64</v>
      </c>
      <c r="H1944">
        <v>1084</v>
      </c>
      <c r="I1944">
        <v>12498</v>
      </c>
      <c r="J1944">
        <v>131.55000000000001</v>
      </c>
      <c r="K1944">
        <v>115.43</v>
      </c>
    </row>
    <row r="1945" spans="1:11" x14ac:dyDescent="0.2">
      <c r="A1945" t="s">
        <v>342</v>
      </c>
      <c r="B1945" t="s">
        <v>417</v>
      </c>
      <c r="C1945" t="s">
        <v>248</v>
      </c>
      <c r="D1945" t="s">
        <v>384</v>
      </c>
      <c r="E1945">
        <v>35242</v>
      </c>
      <c r="F1945">
        <v>8132</v>
      </c>
      <c r="G1945">
        <v>96.91</v>
      </c>
      <c r="H1945">
        <v>4441</v>
      </c>
      <c r="I1945">
        <v>53477</v>
      </c>
      <c r="J1945">
        <v>128.82</v>
      </c>
      <c r="K1945">
        <v>116.16</v>
      </c>
    </row>
    <row r="1946" spans="1:11" x14ac:dyDescent="0.2">
      <c r="A1946" t="s">
        <v>342</v>
      </c>
      <c r="B1946" t="s">
        <v>417</v>
      </c>
      <c r="C1946" t="s">
        <v>266</v>
      </c>
      <c r="D1946" t="s">
        <v>384</v>
      </c>
      <c r="E1946">
        <v>7050</v>
      </c>
      <c r="F1946">
        <v>1373</v>
      </c>
      <c r="G1946">
        <v>88.95</v>
      </c>
      <c r="H1946">
        <v>1006</v>
      </c>
      <c r="I1946">
        <v>11449</v>
      </c>
      <c r="J1946">
        <v>120.61</v>
      </c>
      <c r="K1946">
        <v>108.46</v>
      </c>
    </row>
    <row r="1947" spans="1:11" x14ac:dyDescent="0.2">
      <c r="A1947" t="s">
        <v>342</v>
      </c>
      <c r="B1947" t="s">
        <v>417</v>
      </c>
      <c r="C1947" t="s">
        <v>269</v>
      </c>
      <c r="D1947" t="s">
        <v>384</v>
      </c>
      <c r="E1947">
        <v>2100</v>
      </c>
      <c r="F1947">
        <v>386</v>
      </c>
      <c r="G1947">
        <v>82.5</v>
      </c>
      <c r="H1947">
        <v>363</v>
      </c>
      <c r="I1947">
        <v>3756</v>
      </c>
      <c r="J1947">
        <v>110.45</v>
      </c>
      <c r="K1947">
        <v>106.33</v>
      </c>
    </row>
    <row r="1948" spans="1:11" x14ac:dyDescent="0.2">
      <c r="A1948" t="s">
        <v>342</v>
      </c>
      <c r="B1948" t="s">
        <v>417</v>
      </c>
      <c r="C1948" t="s">
        <v>262</v>
      </c>
      <c r="D1948" t="s">
        <v>384</v>
      </c>
      <c r="E1948">
        <v>515</v>
      </c>
      <c r="F1948">
        <v>142</v>
      </c>
      <c r="G1948">
        <v>111.89</v>
      </c>
      <c r="H1948">
        <v>86</v>
      </c>
      <c r="I1948">
        <v>779</v>
      </c>
      <c r="J1948">
        <v>140.85</v>
      </c>
      <c r="K1948">
        <v>128.80000000000001</v>
      </c>
    </row>
    <row r="1949" spans="1:11" x14ac:dyDescent="0.2">
      <c r="A1949" t="s">
        <v>342</v>
      </c>
      <c r="B1949" t="s">
        <v>417</v>
      </c>
      <c r="C1949" t="s">
        <v>240</v>
      </c>
      <c r="D1949" t="s">
        <v>384</v>
      </c>
      <c r="E1949">
        <v>975</v>
      </c>
      <c r="F1949">
        <v>260</v>
      </c>
      <c r="G1949">
        <v>107.42</v>
      </c>
      <c r="H1949">
        <v>167</v>
      </c>
      <c r="I1949">
        <v>1691</v>
      </c>
      <c r="J1949">
        <v>139.57</v>
      </c>
      <c r="K1949">
        <v>122.08</v>
      </c>
    </row>
    <row r="1950" spans="1:11" x14ac:dyDescent="0.2">
      <c r="A1950" t="s">
        <v>342</v>
      </c>
      <c r="B1950" t="s">
        <v>417</v>
      </c>
      <c r="C1950" t="s">
        <v>233</v>
      </c>
      <c r="D1950" t="s">
        <v>384</v>
      </c>
      <c r="E1950">
        <v>28380</v>
      </c>
      <c r="F1950">
        <v>6349</v>
      </c>
      <c r="G1950">
        <v>95.21</v>
      </c>
      <c r="H1950">
        <v>4045</v>
      </c>
      <c r="I1950">
        <v>44188</v>
      </c>
      <c r="J1950">
        <v>127.62</v>
      </c>
      <c r="K1950">
        <v>113.39</v>
      </c>
    </row>
    <row r="1951" spans="1:11" x14ac:dyDescent="0.2">
      <c r="A1951" t="s">
        <v>342</v>
      </c>
      <c r="B1951" t="s">
        <v>417</v>
      </c>
      <c r="C1951" t="s">
        <v>278</v>
      </c>
      <c r="D1951" t="s">
        <v>384</v>
      </c>
      <c r="E1951">
        <v>19252</v>
      </c>
      <c r="F1951">
        <v>4296</v>
      </c>
      <c r="G1951">
        <v>93.76</v>
      </c>
      <c r="H1951">
        <v>2495</v>
      </c>
      <c r="I1951">
        <v>27419</v>
      </c>
      <c r="J1951">
        <v>125.93</v>
      </c>
      <c r="K1951">
        <v>114.32</v>
      </c>
    </row>
    <row r="1952" spans="1:11" x14ac:dyDescent="0.2">
      <c r="A1952" t="s">
        <v>342</v>
      </c>
      <c r="B1952" t="s">
        <v>417</v>
      </c>
      <c r="C1952" t="s">
        <v>277</v>
      </c>
      <c r="D1952" t="s">
        <v>384</v>
      </c>
      <c r="E1952">
        <v>2112</v>
      </c>
      <c r="F1952">
        <v>537</v>
      </c>
      <c r="G1952">
        <v>100.51</v>
      </c>
      <c r="H1952">
        <v>311</v>
      </c>
      <c r="I1952">
        <v>3740</v>
      </c>
      <c r="J1952">
        <v>116.28</v>
      </c>
      <c r="K1952">
        <v>109.35</v>
      </c>
    </row>
    <row r="1953" spans="1:11" x14ac:dyDescent="0.2">
      <c r="A1953" t="s">
        <v>342</v>
      </c>
      <c r="B1953" t="s">
        <v>417</v>
      </c>
      <c r="C1953" t="s">
        <v>279</v>
      </c>
      <c r="D1953" t="s">
        <v>384</v>
      </c>
      <c r="E1953">
        <v>2834</v>
      </c>
      <c r="F1953">
        <v>692</v>
      </c>
      <c r="G1953">
        <v>100.15</v>
      </c>
      <c r="H1953">
        <v>404</v>
      </c>
      <c r="I1953">
        <v>4979</v>
      </c>
      <c r="J1953">
        <v>119.76</v>
      </c>
      <c r="K1953">
        <v>113.73</v>
      </c>
    </row>
    <row r="1954" spans="1:11" x14ac:dyDescent="0.2">
      <c r="A1954" t="s">
        <v>342</v>
      </c>
      <c r="B1954" t="s">
        <v>417</v>
      </c>
      <c r="C1954" t="s">
        <v>250</v>
      </c>
      <c r="D1954" t="s">
        <v>384</v>
      </c>
      <c r="E1954">
        <v>2365</v>
      </c>
      <c r="F1954">
        <v>543</v>
      </c>
      <c r="G1954">
        <v>92.74</v>
      </c>
      <c r="H1954">
        <v>362</v>
      </c>
      <c r="I1954">
        <v>3373</v>
      </c>
      <c r="J1954">
        <v>129.88</v>
      </c>
      <c r="K1954">
        <v>119.23</v>
      </c>
    </row>
    <row r="1955" spans="1:11" x14ac:dyDescent="0.2">
      <c r="A1955" t="s">
        <v>342</v>
      </c>
      <c r="B1955" t="s">
        <v>417</v>
      </c>
      <c r="C1955" t="s">
        <v>265</v>
      </c>
      <c r="D1955" t="s">
        <v>384</v>
      </c>
      <c r="E1955">
        <v>8122</v>
      </c>
      <c r="F1955">
        <v>1991</v>
      </c>
      <c r="G1955">
        <v>101.76</v>
      </c>
      <c r="H1955">
        <v>1141</v>
      </c>
      <c r="I1955">
        <v>12311</v>
      </c>
      <c r="J1955">
        <v>132.5</v>
      </c>
      <c r="K1955">
        <v>114.42</v>
      </c>
    </row>
    <row r="1956" spans="1:11" x14ac:dyDescent="0.2">
      <c r="A1956" t="s">
        <v>342</v>
      </c>
      <c r="B1956" t="s">
        <v>417</v>
      </c>
      <c r="C1956" t="s">
        <v>246</v>
      </c>
      <c r="D1956" t="s">
        <v>384</v>
      </c>
      <c r="E1956">
        <v>6091</v>
      </c>
      <c r="F1956">
        <v>1312</v>
      </c>
      <c r="G1956">
        <v>92.71</v>
      </c>
      <c r="H1956">
        <v>871</v>
      </c>
      <c r="I1956">
        <v>9233</v>
      </c>
      <c r="J1956">
        <v>126.11</v>
      </c>
      <c r="K1956">
        <v>110.3</v>
      </c>
    </row>
    <row r="1957" spans="1:11" x14ac:dyDescent="0.2">
      <c r="A1957" t="s">
        <v>342</v>
      </c>
      <c r="B1957" t="s">
        <v>417</v>
      </c>
      <c r="C1957" t="s">
        <v>280</v>
      </c>
      <c r="D1957" t="s">
        <v>384</v>
      </c>
      <c r="E1957">
        <v>2728</v>
      </c>
      <c r="F1957">
        <v>605</v>
      </c>
      <c r="G1957">
        <v>95.09</v>
      </c>
      <c r="H1957">
        <v>460</v>
      </c>
      <c r="I1957">
        <v>4715</v>
      </c>
      <c r="J1957">
        <v>113.08</v>
      </c>
      <c r="K1957">
        <v>105.36</v>
      </c>
    </row>
    <row r="1958" spans="1:11" x14ac:dyDescent="0.2">
      <c r="A1958" t="s">
        <v>342</v>
      </c>
      <c r="B1958" t="s">
        <v>417</v>
      </c>
      <c r="C1958" t="s">
        <v>252</v>
      </c>
      <c r="D1958" t="s">
        <v>384</v>
      </c>
      <c r="E1958">
        <v>4807</v>
      </c>
      <c r="F1958">
        <v>957</v>
      </c>
      <c r="G1958">
        <v>95.3</v>
      </c>
      <c r="H1958">
        <v>654</v>
      </c>
      <c r="I1958">
        <v>7214</v>
      </c>
      <c r="J1958">
        <v>122.16</v>
      </c>
      <c r="K1958">
        <v>101.48</v>
      </c>
    </row>
    <row r="1959" spans="1:11" x14ac:dyDescent="0.2">
      <c r="A1959" t="s">
        <v>342</v>
      </c>
      <c r="B1959" t="s">
        <v>417</v>
      </c>
      <c r="C1959" t="s">
        <v>236</v>
      </c>
      <c r="D1959" t="s">
        <v>384</v>
      </c>
      <c r="E1959">
        <v>6756</v>
      </c>
      <c r="F1959">
        <v>1487</v>
      </c>
      <c r="G1959">
        <v>96.18</v>
      </c>
      <c r="H1959">
        <v>944</v>
      </c>
      <c r="I1959">
        <v>10879</v>
      </c>
      <c r="J1959">
        <v>127</v>
      </c>
      <c r="K1959">
        <v>111.79</v>
      </c>
    </row>
    <row r="1960" spans="1:11" x14ac:dyDescent="0.2">
      <c r="A1960" t="s">
        <v>342</v>
      </c>
      <c r="B1960" t="s">
        <v>417</v>
      </c>
      <c r="C1960" t="s">
        <v>241</v>
      </c>
      <c r="D1960" t="s">
        <v>384</v>
      </c>
      <c r="E1960">
        <v>3896</v>
      </c>
      <c r="F1960">
        <v>904</v>
      </c>
      <c r="G1960">
        <v>96.33</v>
      </c>
      <c r="H1960">
        <v>667</v>
      </c>
      <c r="I1960">
        <v>7311</v>
      </c>
      <c r="J1960">
        <v>122.26</v>
      </c>
      <c r="K1960">
        <v>111.98</v>
      </c>
    </row>
    <row r="1961" spans="1:11" x14ac:dyDescent="0.2">
      <c r="A1961" t="s">
        <v>342</v>
      </c>
      <c r="B1961" t="s">
        <v>417</v>
      </c>
      <c r="C1961" t="s">
        <v>258</v>
      </c>
      <c r="D1961" t="s">
        <v>384</v>
      </c>
      <c r="E1961">
        <v>7106</v>
      </c>
      <c r="F1961">
        <v>1744</v>
      </c>
      <c r="G1961">
        <v>99.3</v>
      </c>
      <c r="H1961">
        <v>973</v>
      </c>
      <c r="I1961">
        <v>10780</v>
      </c>
      <c r="J1961">
        <v>133.77000000000001</v>
      </c>
      <c r="K1961">
        <v>122.15</v>
      </c>
    </row>
    <row r="1962" spans="1:11" x14ac:dyDescent="0.2">
      <c r="A1962" t="s">
        <v>342</v>
      </c>
      <c r="B1962" t="s">
        <v>417</v>
      </c>
      <c r="C1962" t="s">
        <v>268</v>
      </c>
      <c r="D1962" t="s">
        <v>384</v>
      </c>
      <c r="E1962">
        <v>1383</v>
      </c>
      <c r="F1962">
        <v>308</v>
      </c>
      <c r="G1962">
        <v>95.82</v>
      </c>
      <c r="H1962">
        <v>216</v>
      </c>
      <c r="I1962">
        <v>2509</v>
      </c>
      <c r="J1962">
        <v>118.12</v>
      </c>
      <c r="K1962">
        <v>112.19</v>
      </c>
    </row>
    <row r="1963" spans="1:11" x14ac:dyDescent="0.2">
      <c r="A1963" t="s">
        <v>342</v>
      </c>
      <c r="B1963" t="s">
        <v>417</v>
      </c>
      <c r="C1963" t="s">
        <v>242</v>
      </c>
      <c r="D1963" t="s">
        <v>384</v>
      </c>
      <c r="E1963">
        <v>7241</v>
      </c>
      <c r="F1963">
        <v>1574</v>
      </c>
      <c r="G1963">
        <v>97.17</v>
      </c>
      <c r="H1963">
        <v>1089</v>
      </c>
      <c r="I1963">
        <v>12037</v>
      </c>
      <c r="J1963">
        <v>124.44</v>
      </c>
      <c r="K1963">
        <v>108.39</v>
      </c>
    </row>
    <row r="1964" spans="1:11" x14ac:dyDescent="0.2">
      <c r="A1964" t="s">
        <v>342</v>
      </c>
      <c r="B1964" t="s">
        <v>417</v>
      </c>
      <c r="C1964" t="s">
        <v>249</v>
      </c>
      <c r="D1964" t="s">
        <v>384</v>
      </c>
      <c r="E1964">
        <v>4482</v>
      </c>
      <c r="F1964">
        <v>1022</v>
      </c>
      <c r="G1964">
        <v>98.06</v>
      </c>
      <c r="H1964">
        <v>757</v>
      </c>
      <c r="I1964">
        <v>8580</v>
      </c>
      <c r="J1964">
        <v>118.53</v>
      </c>
      <c r="K1964">
        <v>107.81</v>
      </c>
    </row>
    <row r="1965" spans="1:11" x14ac:dyDescent="0.2">
      <c r="A1965" t="s">
        <v>342</v>
      </c>
      <c r="B1965" t="s">
        <v>417</v>
      </c>
      <c r="C1965" t="s">
        <v>255</v>
      </c>
      <c r="D1965" t="s">
        <v>384</v>
      </c>
      <c r="E1965">
        <v>6417</v>
      </c>
      <c r="F1965">
        <v>1448</v>
      </c>
      <c r="G1965">
        <v>96.31</v>
      </c>
      <c r="H1965">
        <v>898</v>
      </c>
      <c r="I1965">
        <v>10172</v>
      </c>
      <c r="J1965">
        <v>120.22</v>
      </c>
      <c r="K1965">
        <v>107.12</v>
      </c>
    </row>
    <row r="1966" spans="1:11" x14ac:dyDescent="0.2">
      <c r="A1966" t="s">
        <v>342</v>
      </c>
      <c r="B1966" t="s">
        <v>417</v>
      </c>
      <c r="C1966" t="s">
        <v>271</v>
      </c>
      <c r="D1966" t="s">
        <v>384</v>
      </c>
      <c r="E1966">
        <v>4919</v>
      </c>
      <c r="F1966">
        <v>1380</v>
      </c>
      <c r="G1966">
        <v>106.51</v>
      </c>
      <c r="H1966">
        <v>608</v>
      </c>
      <c r="I1966">
        <v>6701</v>
      </c>
      <c r="J1966">
        <v>132.97</v>
      </c>
      <c r="K1966">
        <v>127.67</v>
      </c>
    </row>
    <row r="1967" spans="1:11" x14ac:dyDescent="0.2">
      <c r="A1967" t="s">
        <v>342</v>
      </c>
      <c r="B1967" t="s">
        <v>417</v>
      </c>
      <c r="C1967" t="s">
        <v>274</v>
      </c>
      <c r="D1967" t="s">
        <v>384</v>
      </c>
      <c r="E1967">
        <v>1289</v>
      </c>
      <c r="F1967">
        <v>201</v>
      </c>
      <c r="G1967">
        <v>81.790000000000006</v>
      </c>
      <c r="H1967">
        <v>176</v>
      </c>
      <c r="I1967">
        <v>2010</v>
      </c>
      <c r="J1967">
        <v>107.41</v>
      </c>
      <c r="K1967">
        <v>99.77</v>
      </c>
    </row>
    <row r="1968" spans="1:11" x14ac:dyDescent="0.2">
      <c r="A1968" t="s">
        <v>342</v>
      </c>
      <c r="B1968" t="s">
        <v>417</v>
      </c>
      <c r="C1968" t="s">
        <v>264</v>
      </c>
      <c r="D1968" t="s">
        <v>384</v>
      </c>
      <c r="E1968">
        <v>17794</v>
      </c>
      <c r="F1968">
        <v>4072</v>
      </c>
      <c r="G1968">
        <v>95.65</v>
      </c>
      <c r="H1968">
        <v>2554</v>
      </c>
      <c r="I1968">
        <v>28651</v>
      </c>
      <c r="J1968">
        <v>125.95</v>
      </c>
      <c r="K1968">
        <v>115.73</v>
      </c>
    </row>
    <row r="1969" spans="1:11" x14ac:dyDescent="0.2">
      <c r="A1969" t="s">
        <v>342</v>
      </c>
      <c r="B1969" t="s">
        <v>417</v>
      </c>
      <c r="C1969" t="s">
        <v>239</v>
      </c>
      <c r="D1969" t="s">
        <v>384</v>
      </c>
      <c r="E1969">
        <v>782</v>
      </c>
      <c r="F1969">
        <v>164</v>
      </c>
      <c r="G1969">
        <v>91.73</v>
      </c>
      <c r="H1969">
        <v>156</v>
      </c>
      <c r="I1969">
        <v>1315</v>
      </c>
      <c r="J1969">
        <v>119.07</v>
      </c>
      <c r="K1969">
        <v>118.32</v>
      </c>
    </row>
    <row r="1970" spans="1:11" x14ac:dyDescent="0.2">
      <c r="A1970" t="s">
        <v>342</v>
      </c>
      <c r="B1970" t="s">
        <v>417</v>
      </c>
      <c r="C1970" t="s">
        <v>238</v>
      </c>
      <c r="D1970" t="s">
        <v>384</v>
      </c>
      <c r="E1970">
        <v>1963</v>
      </c>
      <c r="F1970">
        <v>382</v>
      </c>
      <c r="G1970">
        <v>91.58</v>
      </c>
      <c r="H1970">
        <v>314</v>
      </c>
      <c r="I1970">
        <v>3519</v>
      </c>
      <c r="J1970">
        <v>115.09</v>
      </c>
      <c r="K1970">
        <v>103.96</v>
      </c>
    </row>
    <row r="1971" spans="1:11" x14ac:dyDescent="0.2">
      <c r="A1971" t="s">
        <v>342</v>
      </c>
      <c r="B1971" t="s">
        <v>417</v>
      </c>
      <c r="C1971" t="s">
        <v>275</v>
      </c>
      <c r="D1971" t="s">
        <v>384</v>
      </c>
      <c r="E1971">
        <v>1296</v>
      </c>
      <c r="F1971">
        <v>281</v>
      </c>
      <c r="G1971">
        <v>93.25</v>
      </c>
      <c r="H1971">
        <v>204</v>
      </c>
      <c r="I1971">
        <v>2282</v>
      </c>
      <c r="J1971">
        <v>125.28</v>
      </c>
      <c r="K1971">
        <v>112.15</v>
      </c>
    </row>
    <row r="1972" spans="1:11" x14ac:dyDescent="0.2">
      <c r="A1972" t="s">
        <v>342</v>
      </c>
      <c r="B1972" t="s">
        <v>417</v>
      </c>
      <c r="C1972" t="s">
        <v>273</v>
      </c>
      <c r="D1972" t="s">
        <v>384</v>
      </c>
      <c r="E1972">
        <v>4773</v>
      </c>
      <c r="F1972">
        <v>1185</v>
      </c>
      <c r="G1972">
        <v>99.3</v>
      </c>
      <c r="H1972">
        <v>666</v>
      </c>
      <c r="I1972">
        <v>7089</v>
      </c>
      <c r="J1972">
        <v>135.97999999999999</v>
      </c>
      <c r="K1972">
        <v>122.84</v>
      </c>
    </row>
    <row r="1973" spans="1:11" x14ac:dyDescent="0.2">
      <c r="A1973" t="s">
        <v>342</v>
      </c>
      <c r="B1973" t="s">
        <v>417</v>
      </c>
      <c r="C1973" t="s">
        <v>234</v>
      </c>
      <c r="D1973" t="s">
        <v>384</v>
      </c>
      <c r="E1973">
        <v>2437</v>
      </c>
      <c r="F1973">
        <v>678</v>
      </c>
      <c r="G1973">
        <v>106.68</v>
      </c>
      <c r="H1973">
        <v>436</v>
      </c>
      <c r="I1973">
        <v>3856</v>
      </c>
      <c r="J1973">
        <v>130.30000000000001</v>
      </c>
      <c r="K1973">
        <v>122.69</v>
      </c>
    </row>
    <row r="1974" spans="1:11" x14ac:dyDescent="0.2">
      <c r="A1974" t="s">
        <v>342</v>
      </c>
      <c r="B1974" t="s">
        <v>417</v>
      </c>
      <c r="C1974" t="s">
        <v>244</v>
      </c>
      <c r="D1974" t="s">
        <v>384</v>
      </c>
      <c r="E1974">
        <v>5059</v>
      </c>
      <c r="F1974">
        <v>1609</v>
      </c>
      <c r="G1974">
        <v>114.78</v>
      </c>
      <c r="H1974">
        <v>683</v>
      </c>
      <c r="I1974">
        <v>7226</v>
      </c>
      <c r="J1974">
        <v>145.31</v>
      </c>
      <c r="K1974">
        <v>133.41999999999999</v>
      </c>
    </row>
    <row r="1975" spans="1:11" x14ac:dyDescent="0.2">
      <c r="A1975" t="s">
        <v>342</v>
      </c>
      <c r="B1975" t="s">
        <v>417</v>
      </c>
      <c r="C1975" t="s">
        <v>251</v>
      </c>
      <c r="D1975" t="s">
        <v>384</v>
      </c>
      <c r="E1975">
        <v>9310</v>
      </c>
      <c r="F1975">
        <v>2189</v>
      </c>
      <c r="G1975">
        <v>97.36</v>
      </c>
      <c r="H1975">
        <v>1389</v>
      </c>
      <c r="I1975">
        <v>14697</v>
      </c>
      <c r="J1975">
        <v>121.86</v>
      </c>
      <c r="K1975">
        <v>113.32</v>
      </c>
    </row>
    <row r="1976" spans="1:11" x14ac:dyDescent="0.2">
      <c r="A1976" t="s">
        <v>342</v>
      </c>
      <c r="B1976" t="s">
        <v>417</v>
      </c>
      <c r="C1976" t="s">
        <v>272</v>
      </c>
      <c r="D1976" t="s">
        <v>384</v>
      </c>
      <c r="E1976">
        <v>10856</v>
      </c>
      <c r="F1976">
        <v>2250</v>
      </c>
      <c r="G1976">
        <v>91.36</v>
      </c>
      <c r="H1976">
        <v>1475</v>
      </c>
      <c r="I1976">
        <v>17163</v>
      </c>
      <c r="J1976">
        <v>119.19</v>
      </c>
      <c r="K1976">
        <v>109.41</v>
      </c>
    </row>
    <row r="1977" spans="1:11" x14ac:dyDescent="0.2">
      <c r="A1977" t="s">
        <v>342</v>
      </c>
      <c r="B1977" t="s">
        <v>417</v>
      </c>
      <c r="C1977" t="s">
        <v>254</v>
      </c>
      <c r="D1977" t="s">
        <v>384</v>
      </c>
      <c r="E1977">
        <v>6983</v>
      </c>
      <c r="F1977">
        <v>1531</v>
      </c>
      <c r="G1977">
        <v>96.33</v>
      </c>
      <c r="H1977">
        <v>1079</v>
      </c>
      <c r="I1977">
        <v>12236</v>
      </c>
      <c r="J1977">
        <v>122.05</v>
      </c>
      <c r="K1977">
        <v>109.04</v>
      </c>
    </row>
    <row r="1978" spans="1:11" x14ac:dyDescent="0.2">
      <c r="A1978" t="s">
        <v>342</v>
      </c>
      <c r="B1978" t="s">
        <v>417</v>
      </c>
      <c r="C1978" t="s">
        <v>267</v>
      </c>
      <c r="D1978" t="s">
        <v>384</v>
      </c>
      <c r="E1978">
        <v>4890</v>
      </c>
      <c r="F1978">
        <v>935</v>
      </c>
      <c r="G1978">
        <v>87.41</v>
      </c>
      <c r="H1978">
        <v>677</v>
      </c>
      <c r="I1978">
        <v>7495</v>
      </c>
      <c r="J1978">
        <v>117.25</v>
      </c>
      <c r="K1978">
        <v>110</v>
      </c>
    </row>
    <row r="1979" spans="1:11" x14ac:dyDescent="0.2">
      <c r="A1979" t="s">
        <v>342</v>
      </c>
      <c r="B1979" t="s">
        <v>417</v>
      </c>
      <c r="C1979" t="s">
        <v>356</v>
      </c>
      <c r="D1979" t="s">
        <v>384</v>
      </c>
      <c r="E1979">
        <v>3551</v>
      </c>
      <c r="F1979">
        <v>1124</v>
      </c>
      <c r="G1979">
        <v>120.52</v>
      </c>
      <c r="H1979">
        <v>365</v>
      </c>
      <c r="I1979">
        <v>5396</v>
      </c>
      <c r="J1979">
        <v>144.80000000000001</v>
      </c>
      <c r="K1979">
        <v>134.63999999999999</v>
      </c>
    </row>
    <row r="1980" spans="1:11" x14ac:dyDescent="0.2">
      <c r="A1980" t="s">
        <v>342</v>
      </c>
      <c r="B1980" t="s">
        <v>417</v>
      </c>
      <c r="C1980" t="s">
        <v>263</v>
      </c>
      <c r="D1980" t="s">
        <v>384</v>
      </c>
      <c r="E1980">
        <v>9966</v>
      </c>
      <c r="F1980">
        <v>2358</v>
      </c>
      <c r="G1980">
        <v>96.58</v>
      </c>
      <c r="H1980">
        <v>1530</v>
      </c>
      <c r="I1980">
        <v>15863</v>
      </c>
      <c r="J1980">
        <v>125.06</v>
      </c>
      <c r="K1980">
        <v>119.62</v>
      </c>
    </row>
    <row r="1981" spans="1:11" x14ac:dyDescent="0.2">
      <c r="A1981" t="s">
        <v>342</v>
      </c>
      <c r="B1981" t="s">
        <v>417</v>
      </c>
      <c r="C1981" t="s">
        <v>247</v>
      </c>
      <c r="D1981" t="s">
        <v>384</v>
      </c>
      <c r="E1981">
        <v>3279</v>
      </c>
      <c r="F1981">
        <v>1222</v>
      </c>
      <c r="G1981">
        <v>121.35</v>
      </c>
      <c r="H1981">
        <v>411</v>
      </c>
      <c r="I1981">
        <v>5000</v>
      </c>
      <c r="J1981">
        <v>156.82</v>
      </c>
      <c r="K1981">
        <v>136.68</v>
      </c>
    </row>
    <row r="1982" spans="1:11" x14ac:dyDescent="0.2">
      <c r="A1982" t="s">
        <v>342</v>
      </c>
      <c r="B1982" t="s">
        <v>417</v>
      </c>
      <c r="C1982" t="s">
        <v>276</v>
      </c>
      <c r="D1982" t="s">
        <v>384</v>
      </c>
      <c r="E1982">
        <v>822</v>
      </c>
      <c r="F1982">
        <v>181</v>
      </c>
      <c r="G1982">
        <v>93.41</v>
      </c>
      <c r="H1982">
        <v>153</v>
      </c>
      <c r="I1982">
        <v>1556</v>
      </c>
      <c r="J1982">
        <v>109.65</v>
      </c>
      <c r="K1982">
        <v>106.31</v>
      </c>
    </row>
    <row r="1983" spans="1:11" x14ac:dyDescent="0.2">
      <c r="A1983" t="s">
        <v>342</v>
      </c>
      <c r="B1983" t="s">
        <v>417</v>
      </c>
      <c r="C1983" t="s">
        <v>256</v>
      </c>
      <c r="D1983" t="s">
        <v>384</v>
      </c>
      <c r="E1983">
        <v>9748</v>
      </c>
      <c r="F1983">
        <v>2166</v>
      </c>
      <c r="G1983">
        <v>96.49</v>
      </c>
      <c r="H1983">
        <v>1308</v>
      </c>
      <c r="I1983">
        <v>14900</v>
      </c>
      <c r="J1983">
        <v>133.13999999999999</v>
      </c>
      <c r="K1983">
        <v>112.97</v>
      </c>
    </row>
    <row r="1984" spans="1:11" x14ac:dyDescent="0.2">
      <c r="A1984" t="s">
        <v>342</v>
      </c>
      <c r="B1984" t="s">
        <v>417</v>
      </c>
      <c r="C1984" t="s">
        <v>257</v>
      </c>
      <c r="D1984" t="s">
        <v>384</v>
      </c>
      <c r="E1984">
        <v>1137</v>
      </c>
      <c r="F1984">
        <v>212</v>
      </c>
      <c r="G1984">
        <v>87.65</v>
      </c>
      <c r="H1984">
        <v>192</v>
      </c>
      <c r="I1984">
        <v>1984</v>
      </c>
      <c r="J1984">
        <v>109.46</v>
      </c>
      <c r="K1984">
        <v>108.65</v>
      </c>
    </row>
    <row r="1985" spans="1:11" x14ac:dyDescent="0.2">
      <c r="A1985" t="s">
        <v>342</v>
      </c>
      <c r="B1985" t="s">
        <v>417</v>
      </c>
      <c r="C1985" t="s">
        <v>259</v>
      </c>
      <c r="D1985" t="s">
        <v>384</v>
      </c>
      <c r="E1985">
        <v>10425</v>
      </c>
      <c r="F1985">
        <v>1985</v>
      </c>
      <c r="G1985">
        <v>87.71</v>
      </c>
      <c r="H1985">
        <v>1446</v>
      </c>
      <c r="I1985">
        <v>15548</v>
      </c>
      <c r="J1985">
        <v>119.81</v>
      </c>
      <c r="K1985">
        <v>104.2</v>
      </c>
    </row>
    <row r="1986" spans="1:11" x14ac:dyDescent="0.2">
      <c r="A1986" t="s">
        <v>342</v>
      </c>
      <c r="B1986" t="s">
        <v>417</v>
      </c>
      <c r="C1986" t="s">
        <v>243</v>
      </c>
      <c r="D1986" t="s">
        <v>384</v>
      </c>
      <c r="E1986">
        <v>40868</v>
      </c>
      <c r="F1986">
        <v>7974</v>
      </c>
      <c r="G1986">
        <v>87.93</v>
      </c>
      <c r="H1986">
        <v>5352</v>
      </c>
      <c r="I1986">
        <v>61507</v>
      </c>
      <c r="J1986">
        <v>131.35</v>
      </c>
      <c r="K1986">
        <v>109.47</v>
      </c>
    </row>
    <row r="1987" spans="1:11" x14ac:dyDescent="0.2">
      <c r="A1987" t="s">
        <v>342</v>
      </c>
      <c r="B1987" t="s">
        <v>417</v>
      </c>
      <c r="C1987" t="s">
        <v>260</v>
      </c>
      <c r="D1987" t="s">
        <v>384</v>
      </c>
      <c r="E1987">
        <v>2315</v>
      </c>
      <c r="F1987">
        <v>447</v>
      </c>
      <c r="G1987">
        <v>86.15</v>
      </c>
      <c r="H1987">
        <v>309</v>
      </c>
      <c r="I1987">
        <v>3504</v>
      </c>
      <c r="J1987">
        <v>117.26</v>
      </c>
      <c r="K1987">
        <v>107.97</v>
      </c>
    </row>
    <row r="1988" spans="1:11" x14ac:dyDescent="0.2">
      <c r="A1988" t="s">
        <v>342</v>
      </c>
      <c r="B1988" t="s">
        <v>417</v>
      </c>
      <c r="C1988" t="s">
        <v>237</v>
      </c>
      <c r="D1988" t="s">
        <v>384</v>
      </c>
      <c r="E1988">
        <v>13988</v>
      </c>
      <c r="F1988">
        <v>3246</v>
      </c>
      <c r="G1988">
        <v>97.28</v>
      </c>
      <c r="H1988">
        <v>1880</v>
      </c>
      <c r="I1988">
        <v>21505</v>
      </c>
      <c r="J1988">
        <v>126.04</v>
      </c>
      <c r="K1988">
        <v>114.47</v>
      </c>
    </row>
    <row r="1989" spans="1:11" x14ac:dyDescent="0.2">
      <c r="A1989" t="s">
        <v>342</v>
      </c>
      <c r="B1989" t="s">
        <v>417</v>
      </c>
      <c r="C1989" t="s">
        <v>281</v>
      </c>
      <c r="D1989" t="s">
        <v>384</v>
      </c>
      <c r="E1989">
        <v>486</v>
      </c>
      <c r="F1989">
        <v>134</v>
      </c>
      <c r="G1989">
        <v>103.24</v>
      </c>
      <c r="H1989">
        <v>81</v>
      </c>
      <c r="I1989">
        <v>770</v>
      </c>
      <c r="J1989">
        <v>130.30000000000001</v>
      </c>
      <c r="K1989">
        <v>129.44</v>
      </c>
    </row>
    <row r="1990" spans="1:11" x14ac:dyDescent="0.2">
      <c r="A1990" t="s">
        <v>342</v>
      </c>
      <c r="B1990" t="s">
        <v>417</v>
      </c>
      <c r="C1990" t="s">
        <v>245</v>
      </c>
      <c r="D1990" t="s">
        <v>384</v>
      </c>
      <c r="E1990">
        <v>7154</v>
      </c>
      <c r="F1990">
        <v>1527</v>
      </c>
      <c r="G1990">
        <v>94.62</v>
      </c>
      <c r="H1990">
        <v>1074</v>
      </c>
      <c r="I1990">
        <v>12749</v>
      </c>
      <c r="J1990">
        <v>115.49</v>
      </c>
      <c r="K1990">
        <v>103.11</v>
      </c>
    </row>
    <row r="1991" spans="1:11" x14ac:dyDescent="0.2">
      <c r="A1991" t="s">
        <v>342</v>
      </c>
      <c r="B1991" t="s">
        <v>417</v>
      </c>
      <c r="C1991" t="s">
        <v>232</v>
      </c>
      <c r="D1991" t="s">
        <v>384</v>
      </c>
      <c r="E1991">
        <v>4351</v>
      </c>
      <c r="F1991">
        <v>939</v>
      </c>
      <c r="G1991">
        <v>96.37</v>
      </c>
      <c r="H1991">
        <v>652</v>
      </c>
      <c r="I1991">
        <v>7198</v>
      </c>
      <c r="J1991">
        <v>113.82</v>
      </c>
      <c r="K1991">
        <v>106.87</v>
      </c>
    </row>
    <row r="1992" spans="1:11" x14ac:dyDescent="0.2">
      <c r="A1992" t="s">
        <v>342</v>
      </c>
      <c r="B1992" t="s">
        <v>417</v>
      </c>
      <c r="C1992" t="s">
        <v>253</v>
      </c>
      <c r="D1992" t="s">
        <v>384</v>
      </c>
      <c r="E1992">
        <v>2487</v>
      </c>
      <c r="F1992">
        <v>554</v>
      </c>
      <c r="G1992">
        <v>94.24</v>
      </c>
      <c r="H1992">
        <v>436</v>
      </c>
      <c r="I1992">
        <v>4229</v>
      </c>
      <c r="J1992">
        <v>121.72</v>
      </c>
      <c r="K1992">
        <v>115.99</v>
      </c>
    </row>
    <row r="1993" spans="1:11" x14ac:dyDescent="0.2">
      <c r="A1993" t="s">
        <v>342</v>
      </c>
      <c r="B1993" t="s">
        <v>417</v>
      </c>
      <c r="C1993" t="s">
        <v>235</v>
      </c>
      <c r="D1993" t="s">
        <v>384</v>
      </c>
      <c r="E1993">
        <v>812</v>
      </c>
      <c r="F1993">
        <v>191</v>
      </c>
      <c r="G1993">
        <v>95.29</v>
      </c>
      <c r="H1993">
        <v>126</v>
      </c>
      <c r="I1993">
        <v>1444</v>
      </c>
      <c r="J1993">
        <v>122.68</v>
      </c>
      <c r="K1993">
        <v>119.76</v>
      </c>
    </row>
    <row r="1994" spans="1:11" x14ac:dyDescent="0.2">
      <c r="A1994" t="s">
        <v>342</v>
      </c>
      <c r="B1994" t="s">
        <v>417</v>
      </c>
      <c r="C1994" t="s">
        <v>359</v>
      </c>
      <c r="D1994" t="s">
        <v>384</v>
      </c>
      <c r="E1994">
        <v>3551</v>
      </c>
      <c r="F1994">
        <v>1124</v>
      </c>
      <c r="G1994">
        <v>120.52</v>
      </c>
      <c r="H1994">
        <v>365</v>
      </c>
      <c r="I1994">
        <v>5396</v>
      </c>
      <c r="J1994">
        <v>144.80000000000001</v>
      </c>
      <c r="K1994">
        <v>134.63999999999999</v>
      </c>
    </row>
    <row r="1995" spans="1:11" x14ac:dyDescent="0.2">
      <c r="A1995" t="s">
        <v>342</v>
      </c>
      <c r="B1995" t="s">
        <v>417</v>
      </c>
      <c r="C1995" t="s">
        <v>386</v>
      </c>
      <c r="D1995" t="s">
        <v>384</v>
      </c>
      <c r="E1995">
        <v>70928</v>
      </c>
      <c r="F1995">
        <v>14347</v>
      </c>
      <c r="G1995">
        <v>90.37</v>
      </c>
      <c r="H1995">
        <v>10022</v>
      </c>
      <c r="I1995">
        <v>113738</v>
      </c>
      <c r="J1995">
        <v>125.35</v>
      </c>
      <c r="K1995">
        <v>109.09</v>
      </c>
    </row>
    <row r="1996" spans="1:11" x14ac:dyDescent="0.2">
      <c r="A1996" t="s">
        <v>342</v>
      </c>
      <c r="B1996" t="s">
        <v>417</v>
      </c>
      <c r="C1996" t="s">
        <v>385</v>
      </c>
      <c r="D1996" t="s">
        <v>384</v>
      </c>
      <c r="E1996">
        <v>135058</v>
      </c>
      <c r="F1996">
        <v>30439</v>
      </c>
      <c r="G1996">
        <v>95.44</v>
      </c>
      <c r="H1996">
        <v>18498</v>
      </c>
      <c r="I1996">
        <v>206169</v>
      </c>
      <c r="J1996">
        <v>127.24</v>
      </c>
      <c r="K1996">
        <v>113.74</v>
      </c>
    </row>
    <row r="1997" spans="1:11" x14ac:dyDescent="0.2">
      <c r="A1997" t="s">
        <v>342</v>
      </c>
      <c r="B1997" t="s">
        <v>417</v>
      </c>
      <c r="C1997" t="s">
        <v>387</v>
      </c>
      <c r="D1997" t="s">
        <v>384</v>
      </c>
      <c r="E1997">
        <v>85706</v>
      </c>
      <c r="F1997">
        <v>19586</v>
      </c>
      <c r="G1997">
        <v>96.42</v>
      </c>
      <c r="H1997">
        <v>12621</v>
      </c>
      <c r="I1997">
        <v>137197</v>
      </c>
      <c r="J1997">
        <v>124.5</v>
      </c>
      <c r="K1997">
        <v>113.31</v>
      </c>
    </row>
    <row r="1998" spans="1:11" x14ac:dyDescent="0.2">
      <c r="A1998" t="s">
        <v>342</v>
      </c>
      <c r="B1998" t="s">
        <v>417</v>
      </c>
      <c r="C1998" t="s">
        <v>388</v>
      </c>
      <c r="D1998" t="s">
        <v>384</v>
      </c>
      <c r="E1998">
        <v>70341</v>
      </c>
      <c r="F1998">
        <v>16470</v>
      </c>
      <c r="G1998">
        <v>97.51</v>
      </c>
      <c r="H1998">
        <v>9575</v>
      </c>
      <c r="I1998">
        <v>109837</v>
      </c>
      <c r="J1998">
        <v>127.64</v>
      </c>
      <c r="K1998">
        <v>115.13</v>
      </c>
    </row>
    <row r="1999" spans="1:11" x14ac:dyDescent="0.2">
      <c r="A1999" t="s">
        <v>342</v>
      </c>
      <c r="B1999" t="s">
        <v>346</v>
      </c>
      <c r="C1999" t="s">
        <v>359</v>
      </c>
      <c r="D1999" t="s">
        <v>384</v>
      </c>
      <c r="E1999">
        <v>3415</v>
      </c>
      <c r="F1999">
        <v>1079</v>
      </c>
      <c r="G1999">
        <v>120.95</v>
      </c>
      <c r="H1999">
        <v>348</v>
      </c>
      <c r="I1999">
        <v>5143</v>
      </c>
      <c r="J1999">
        <v>146.30000000000001</v>
      </c>
      <c r="K1999">
        <v>135.07</v>
      </c>
    </row>
    <row r="2000" spans="1:11" x14ac:dyDescent="0.2">
      <c r="A2000" t="s">
        <v>342</v>
      </c>
      <c r="B2000" t="s">
        <v>346</v>
      </c>
      <c r="C2000" t="s">
        <v>386</v>
      </c>
      <c r="D2000" t="s">
        <v>384</v>
      </c>
      <c r="E2000">
        <v>66324</v>
      </c>
      <c r="F2000">
        <v>13119</v>
      </c>
      <c r="G2000">
        <v>89.78</v>
      </c>
      <c r="H2000">
        <v>9367</v>
      </c>
      <c r="I2000">
        <v>106530</v>
      </c>
      <c r="J2000">
        <v>124.8</v>
      </c>
      <c r="K2000">
        <v>109.37</v>
      </c>
    </row>
    <row r="2001" spans="1:11" x14ac:dyDescent="0.2">
      <c r="A2001" t="s">
        <v>342</v>
      </c>
      <c r="B2001" t="s">
        <v>346</v>
      </c>
      <c r="C2001" t="s">
        <v>385</v>
      </c>
      <c r="D2001" t="s">
        <v>384</v>
      </c>
      <c r="E2001">
        <v>127760</v>
      </c>
      <c r="F2001">
        <v>28931</v>
      </c>
      <c r="G2001">
        <v>95.91</v>
      </c>
      <c r="H2001">
        <v>17592</v>
      </c>
      <c r="I2001">
        <v>195035</v>
      </c>
      <c r="J2001">
        <v>127.83</v>
      </c>
      <c r="K2001">
        <v>115.1</v>
      </c>
    </row>
    <row r="2002" spans="1:11" x14ac:dyDescent="0.2">
      <c r="A2002" t="s">
        <v>342</v>
      </c>
      <c r="B2002" t="s">
        <v>346</v>
      </c>
      <c r="C2002" t="s">
        <v>387</v>
      </c>
      <c r="D2002" t="s">
        <v>384</v>
      </c>
      <c r="E2002">
        <v>78809</v>
      </c>
      <c r="F2002">
        <v>18178</v>
      </c>
      <c r="G2002">
        <v>97.28</v>
      </c>
      <c r="H2002">
        <v>11830</v>
      </c>
      <c r="I2002">
        <v>126883</v>
      </c>
      <c r="J2002">
        <v>125.15</v>
      </c>
      <c r="K2002">
        <v>115.72</v>
      </c>
    </row>
    <row r="2003" spans="1:11" x14ac:dyDescent="0.2">
      <c r="A2003" t="s">
        <v>342</v>
      </c>
      <c r="B2003" t="s">
        <v>346</v>
      </c>
      <c r="C2003" t="s">
        <v>388</v>
      </c>
      <c r="D2003" t="s">
        <v>384</v>
      </c>
      <c r="E2003">
        <v>65179</v>
      </c>
      <c r="F2003">
        <v>15081</v>
      </c>
      <c r="G2003">
        <v>97.4</v>
      </c>
      <c r="H2003">
        <v>8891</v>
      </c>
      <c r="I2003">
        <v>102123</v>
      </c>
      <c r="J2003">
        <v>128.01</v>
      </c>
      <c r="K2003">
        <v>115.96</v>
      </c>
    </row>
    <row r="2004" spans="1:11" x14ac:dyDescent="0.2">
      <c r="A2004" t="s">
        <v>342</v>
      </c>
      <c r="B2004" t="s">
        <v>347</v>
      </c>
      <c r="C2004" t="s">
        <v>359</v>
      </c>
      <c r="D2004" t="s">
        <v>384</v>
      </c>
      <c r="E2004">
        <v>135</v>
      </c>
      <c r="F2004">
        <v>45</v>
      </c>
      <c r="G2004">
        <v>110.19</v>
      </c>
      <c r="H2004">
        <v>15</v>
      </c>
      <c r="I2004">
        <v>239</v>
      </c>
      <c r="J2004">
        <v>125.07</v>
      </c>
      <c r="K2004">
        <v>131.18</v>
      </c>
    </row>
    <row r="2005" spans="1:11" x14ac:dyDescent="0.2">
      <c r="A2005" t="s">
        <v>342</v>
      </c>
      <c r="B2005" t="s">
        <v>347</v>
      </c>
      <c r="C2005" t="s">
        <v>386</v>
      </c>
      <c r="D2005" t="s">
        <v>384</v>
      </c>
      <c r="E2005">
        <v>4525</v>
      </c>
      <c r="F2005">
        <v>1209</v>
      </c>
      <c r="G2005">
        <v>98.98</v>
      </c>
      <c r="H2005">
        <v>643</v>
      </c>
      <c r="I2005">
        <v>6979</v>
      </c>
      <c r="J2005">
        <v>126.45</v>
      </c>
      <c r="K2005">
        <v>103.96</v>
      </c>
    </row>
    <row r="2006" spans="1:11" x14ac:dyDescent="0.2">
      <c r="A2006" t="s">
        <v>342</v>
      </c>
      <c r="B2006" t="s">
        <v>347</v>
      </c>
      <c r="C2006" t="s">
        <v>385</v>
      </c>
      <c r="D2006" t="s">
        <v>384</v>
      </c>
      <c r="E2006">
        <v>7078</v>
      </c>
      <c r="F2006">
        <v>1455</v>
      </c>
      <c r="G2006">
        <v>86.43</v>
      </c>
      <c r="H2006">
        <v>874</v>
      </c>
      <c r="I2006">
        <v>10663</v>
      </c>
      <c r="J2006">
        <v>114.45</v>
      </c>
      <c r="K2006">
        <v>88.73</v>
      </c>
    </row>
    <row r="2007" spans="1:11" x14ac:dyDescent="0.2">
      <c r="A2007" t="s">
        <v>342</v>
      </c>
      <c r="B2007" t="s">
        <v>347</v>
      </c>
      <c r="C2007" t="s">
        <v>387</v>
      </c>
      <c r="D2007" t="s">
        <v>384</v>
      </c>
      <c r="E2007">
        <v>6764</v>
      </c>
      <c r="F2007">
        <v>1367</v>
      </c>
      <c r="G2007">
        <v>86.07</v>
      </c>
      <c r="H2007">
        <v>768</v>
      </c>
      <c r="I2007">
        <v>10063</v>
      </c>
      <c r="J2007">
        <v>115.21</v>
      </c>
      <c r="K2007">
        <v>83.24</v>
      </c>
    </row>
    <row r="2008" spans="1:11" x14ac:dyDescent="0.2">
      <c r="A2008" t="s">
        <v>342</v>
      </c>
      <c r="B2008" t="s">
        <v>347</v>
      </c>
      <c r="C2008" t="s">
        <v>388</v>
      </c>
      <c r="D2008" t="s">
        <v>384</v>
      </c>
      <c r="E2008">
        <v>5055</v>
      </c>
      <c r="F2008">
        <v>1367</v>
      </c>
      <c r="G2008">
        <v>98.8</v>
      </c>
      <c r="H2008">
        <v>668</v>
      </c>
      <c r="I2008">
        <v>7496</v>
      </c>
      <c r="J2008">
        <v>123.87</v>
      </c>
      <c r="K2008">
        <v>104.2</v>
      </c>
    </row>
    <row r="2009" spans="1:11" x14ac:dyDescent="0.2">
      <c r="A2009" t="s">
        <v>342</v>
      </c>
      <c r="B2009" t="s">
        <v>348</v>
      </c>
      <c r="C2009" t="s">
        <v>359</v>
      </c>
      <c r="D2009" t="s">
        <v>384</v>
      </c>
      <c r="E2009">
        <v>1</v>
      </c>
      <c r="G2009">
        <v>51</v>
      </c>
      <c r="H2009">
        <v>2</v>
      </c>
      <c r="I2009">
        <v>14</v>
      </c>
      <c r="J2009">
        <v>32.5</v>
      </c>
      <c r="K2009">
        <v>35.5</v>
      </c>
    </row>
    <row r="2010" spans="1:11" x14ac:dyDescent="0.2">
      <c r="A2010" t="s">
        <v>342</v>
      </c>
      <c r="B2010" t="s">
        <v>348</v>
      </c>
      <c r="C2010" t="s">
        <v>386</v>
      </c>
      <c r="D2010" t="s">
        <v>384</v>
      </c>
      <c r="E2010">
        <v>79</v>
      </c>
      <c r="F2010">
        <v>19</v>
      </c>
      <c r="G2010">
        <v>98.78</v>
      </c>
      <c r="H2010">
        <v>9</v>
      </c>
      <c r="I2010">
        <v>214</v>
      </c>
      <c r="J2010">
        <v>296</v>
      </c>
      <c r="K2010">
        <v>107.49</v>
      </c>
    </row>
    <row r="2011" spans="1:11" x14ac:dyDescent="0.2">
      <c r="A2011" t="s">
        <v>342</v>
      </c>
      <c r="B2011" t="s">
        <v>348</v>
      </c>
      <c r="C2011" t="s">
        <v>385</v>
      </c>
      <c r="D2011" t="s">
        <v>384</v>
      </c>
      <c r="E2011">
        <v>213</v>
      </c>
      <c r="F2011">
        <v>50</v>
      </c>
      <c r="G2011">
        <v>109.44</v>
      </c>
      <c r="H2011">
        <v>32</v>
      </c>
      <c r="I2011">
        <v>454</v>
      </c>
      <c r="J2011">
        <v>153.13</v>
      </c>
      <c r="K2011">
        <v>106.87</v>
      </c>
    </row>
    <row r="2012" spans="1:11" x14ac:dyDescent="0.2">
      <c r="A2012" t="s">
        <v>342</v>
      </c>
      <c r="B2012" t="s">
        <v>348</v>
      </c>
      <c r="C2012" t="s">
        <v>387</v>
      </c>
      <c r="D2012" t="s">
        <v>384</v>
      </c>
      <c r="E2012">
        <v>129</v>
      </c>
      <c r="F2012">
        <v>39</v>
      </c>
      <c r="G2012">
        <v>107.84</v>
      </c>
      <c r="H2012">
        <v>23</v>
      </c>
      <c r="I2012">
        <v>244</v>
      </c>
      <c r="J2012">
        <v>101.09</v>
      </c>
      <c r="K2012">
        <v>97.23</v>
      </c>
    </row>
    <row r="2013" spans="1:11" x14ac:dyDescent="0.2">
      <c r="A2013" t="s">
        <v>342</v>
      </c>
      <c r="B2013" t="s">
        <v>348</v>
      </c>
      <c r="C2013" t="s">
        <v>388</v>
      </c>
      <c r="D2013" t="s">
        <v>384</v>
      </c>
      <c r="E2013">
        <v>103</v>
      </c>
      <c r="F2013">
        <v>21</v>
      </c>
      <c r="G2013">
        <v>106.24</v>
      </c>
      <c r="H2013">
        <v>15</v>
      </c>
      <c r="I2013">
        <v>202</v>
      </c>
      <c r="J2013">
        <v>87.47</v>
      </c>
      <c r="K2013">
        <v>89.59</v>
      </c>
    </row>
    <row r="2014" spans="1:11" x14ac:dyDescent="0.2">
      <c r="A2014" t="s">
        <v>342</v>
      </c>
      <c r="B2014" t="s">
        <v>349</v>
      </c>
      <c r="C2014" t="s">
        <v>386</v>
      </c>
      <c r="D2014" t="s">
        <v>384</v>
      </c>
      <c r="H2014">
        <v>3</v>
      </c>
      <c r="I2014">
        <v>15</v>
      </c>
      <c r="J2014">
        <v>1090.67</v>
      </c>
      <c r="K2014">
        <v>549.87</v>
      </c>
    </row>
    <row r="2015" spans="1:11" x14ac:dyDescent="0.2">
      <c r="A2015" t="s">
        <v>342</v>
      </c>
      <c r="B2015" t="s">
        <v>349</v>
      </c>
      <c r="C2015" t="s">
        <v>385</v>
      </c>
      <c r="D2015" t="s">
        <v>384</v>
      </c>
      <c r="E2015">
        <v>7</v>
      </c>
      <c r="F2015">
        <v>3</v>
      </c>
      <c r="G2015">
        <v>217.14</v>
      </c>
      <c r="I2015">
        <v>17</v>
      </c>
      <c r="K2015">
        <v>322.06</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E264"/>
  <sheetViews>
    <sheetView topLeftCell="D46" workbookViewId="0">
      <selection activeCell="AA2" sqref="AA2"/>
    </sheetView>
  </sheetViews>
  <sheetFormatPr defaultRowHeight="12.75" x14ac:dyDescent="0.2"/>
  <cols>
    <col min="1" max="1" width="7.7109375" bestFit="1" customWidth="1"/>
    <col min="2" max="2" width="34.28515625" customWidth="1"/>
    <col min="3" max="3" width="16.85546875" bestFit="1" customWidth="1"/>
    <col min="4" max="4" width="15.5703125" bestFit="1" customWidth="1"/>
    <col min="5" max="5" width="3.7109375" customWidth="1"/>
    <col min="6" max="6" width="5.140625" bestFit="1" customWidth="1"/>
    <col min="7" max="7" width="3.5703125" bestFit="1" customWidth="1"/>
    <col min="8" max="8" width="5.28515625" customWidth="1"/>
    <col min="9" max="9" width="19" bestFit="1" customWidth="1"/>
    <col min="10" max="10" width="6.28515625" bestFit="1" customWidth="1"/>
    <col min="11" max="11" width="6.28515625" customWidth="1"/>
    <col min="12" max="12" width="4.7109375" bestFit="1" customWidth="1"/>
    <col min="13" max="13" width="3.5703125" bestFit="1" customWidth="1"/>
    <col min="15" max="15" width="19" bestFit="1" customWidth="1"/>
    <col min="16" max="16" width="5.85546875" bestFit="1" customWidth="1"/>
    <col min="17" max="17" width="3" customWidth="1"/>
    <col min="21" max="21" width="13.85546875" bestFit="1" customWidth="1"/>
    <col min="22" max="22" width="2.7109375" customWidth="1"/>
    <col min="24" max="24" width="19" bestFit="1" customWidth="1"/>
    <col min="25" max="25" width="10" customWidth="1"/>
    <col min="26" max="26" width="27.42578125" bestFit="1" customWidth="1"/>
    <col min="27" max="27" width="14.140625" customWidth="1"/>
    <col min="29" max="31" width="21.7109375" customWidth="1"/>
  </cols>
  <sheetData>
    <row r="1" spans="1:27" x14ac:dyDescent="0.2">
      <c r="A1" s="110" t="s">
        <v>447</v>
      </c>
      <c r="B1" s="110" t="s">
        <v>448</v>
      </c>
      <c r="F1" s="110" t="s">
        <v>441</v>
      </c>
      <c r="G1" s="110" t="s">
        <v>363</v>
      </c>
      <c r="H1" s="110" t="s">
        <v>436</v>
      </c>
      <c r="I1" s="110" t="s">
        <v>435</v>
      </c>
      <c r="J1" s="110" t="s">
        <v>440</v>
      </c>
      <c r="K1" s="110"/>
      <c r="L1" s="110" t="s">
        <v>442</v>
      </c>
      <c r="M1" s="110" t="s">
        <v>353</v>
      </c>
      <c r="N1" s="110" t="s">
        <v>437</v>
      </c>
      <c r="O1" s="110" t="s">
        <v>438</v>
      </c>
      <c r="P1" s="110" t="s">
        <v>439</v>
      </c>
      <c r="R1" s="110" t="s">
        <v>441</v>
      </c>
      <c r="S1" s="110" t="s">
        <v>363</v>
      </c>
      <c r="T1" s="110" t="s">
        <v>436</v>
      </c>
      <c r="U1" s="110" t="s">
        <v>435</v>
      </c>
      <c r="V1" s="110"/>
    </row>
    <row r="2" spans="1:27" x14ac:dyDescent="0.2">
      <c r="A2">
        <v>1</v>
      </c>
      <c r="B2" s="110" t="s">
        <v>874</v>
      </c>
      <c r="F2">
        <v>1</v>
      </c>
      <c r="G2">
        <v>0</v>
      </c>
      <c r="H2">
        <v>100</v>
      </c>
      <c r="I2" t="s">
        <v>4</v>
      </c>
      <c r="J2" t="s">
        <v>338</v>
      </c>
      <c r="L2">
        <v>1</v>
      </c>
      <c r="M2">
        <v>0</v>
      </c>
      <c r="N2">
        <v>100</v>
      </c>
      <c r="O2" t="s">
        <v>4</v>
      </c>
      <c r="P2">
        <v>100</v>
      </c>
      <c r="R2">
        <v>1</v>
      </c>
      <c r="S2">
        <v>0</v>
      </c>
      <c r="T2">
        <v>100</v>
      </c>
      <c r="U2" t="s">
        <v>4</v>
      </c>
      <c r="AA2" s="136" t="s">
        <v>731</v>
      </c>
    </row>
    <row r="3" spans="1:27" x14ac:dyDescent="0.2">
      <c r="A3">
        <v>2</v>
      </c>
      <c r="B3" t="s">
        <v>443</v>
      </c>
      <c r="F3">
        <v>2</v>
      </c>
      <c r="G3">
        <v>1</v>
      </c>
      <c r="H3" s="273">
        <v>394</v>
      </c>
      <c r="I3" s="110" t="s">
        <v>870</v>
      </c>
      <c r="J3" t="s">
        <v>387</v>
      </c>
      <c r="L3">
        <v>2</v>
      </c>
      <c r="M3">
        <v>1</v>
      </c>
      <c r="N3" t="s">
        <v>387</v>
      </c>
      <c r="O3" s="110" t="s">
        <v>870</v>
      </c>
      <c r="P3" t="s">
        <v>387</v>
      </c>
      <c r="R3">
        <v>2</v>
      </c>
      <c r="S3">
        <v>1</v>
      </c>
      <c r="T3" t="s">
        <v>86</v>
      </c>
      <c r="U3" t="s">
        <v>56</v>
      </c>
      <c r="X3" s="110" t="s">
        <v>870</v>
      </c>
      <c r="Z3" s="110" t="s">
        <v>350</v>
      </c>
      <c r="AA3" s="137"/>
    </row>
    <row r="4" spans="1:27" x14ac:dyDescent="0.2">
      <c r="A4">
        <v>3</v>
      </c>
      <c r="B4" t="s">
        <v>444</v>
      </c>
      <c r="F4">
        <v>3</v>
      </c>
      <c r="G4">
        <v>1</v>
      </c>
      <c r="H4" s="273" t="s">
        <v>116</v>
      </c>
      <c r="I4" s="273" t="s">
        <v>27</v>
      </c>
      <c r="J4" t="s">
        <v>387</v>
      </c>
      <c r="L4">
        <v>3</v>
      </c>
      <c r="M4">
        <v>1</v>
      </c>
      <c r="N4" t="s">
        <v>269</v>
      </c>
      <c r="O4" t="s">
        <v>284</v>
      </c>
      <c r="P4" t="s">
        <v>387</v>
      </c>
      <c r="R4">
        <v>3</v>
      </c>
      <c r="S4">
        <v>1</v>
      </c>
      <c r="T4" t="s">
        <v>130</v>
      </c>
      <c r="U4" t="s">
        <v>49</v>
      </c>
      <c r="X4" t="s">
        <v>284</v>
      </c>
      <c r="Y4" s="110" t="s">
        <v>645</v>
      </c>
      <c r="Z4" s="110" t="str">
        <f>X4&amp;$AA$2</f>
        <v>Connecticut-Total</v>
      </c>
      <c r="AA4" s="138" t="s">
        <v>843</v>
      </c>
    </row>
    <row r="5" spans="1:27" x14ac:dyDescent="0.2">
      <c r="A5">
        <v>4</v>
      </c>
      <c r="B5" t="s">
        <v>445</v>
      </c>
      <c r="F5">
        <v>4</v>
      </c>
      <c r="G5">
        <v>1</v>
      </c>
      <c r="H5" s="273" t="s">
        <v>109</v>
      </c>
      <c r="I5" s="273" t="s">
        <v>29</v>
      </c>
      <c r="J5" t="s">
        <v>387</v>
      </c>
      <c r="L5">
        <v>4</v>
      </c>
      <c r="M5">
        <v>1</v>
      </c>
      <c r="N5" t="s">
        <v>240</v>
      </c>
      <c r="O5" t="s">
        <v>329</v>
      </c>
      <c r="P5" t="s">
        <v>387</v>
      </c>
      <c r="R5">
        <v>4</v>
      </c>
      <c r="S5">
        <v>1</v>
      </c>
      <c r="T5" t="s">
        <v>134</v>
      </c>
      <c r="U5" t="s">
        <v>69</v>
      </c>
      <c r="Y5" s="110" t="s">
        <v>502</v>
      </c>
      <c r="Z5" s="110" t="s">
        <v>742</v>
      </c>
      <c r="AA5" s="138" t="s">
        <v>732</v>
      </c>
    </row>
    <row r="6" spans="1:27" x14ac:dyDescent="0.2">
      <c r="A6">
        <v>5</v>
      </c>
      <c r="B6" t="s">
        <v>446</v>
      </c>
      <c r="F6">
        <v>5</v>
      </c>
      <c r="G6">
        <v>1</v>
      </c>
      <c r="H6" s="273" t="s">
        <v>112</v>
      </c>
      <c r="I6" s="273" t="s">
        <v>20</v>
      </c>
      <c r="J6" t="s">
        <v>387</v>
      </c>
      <c r="L6">
        <v>5</v>
      </c>
      <c r="M6">
        <v>1</v>
      </c>
      <c r="N6" t="s">
        <v>262</v>
      </c>
      <c r="O6" t="s">
        <v>320</v>
      </c>
      <c r="P6" t="s">
        <v>387</v>
      </c>
      <c r="R6">
        <v>5</v>
      </c>
      <c r="S6">
        <v>1</v>
      </c>
      <c r="T6" t="s">
        <v>384</v>
      </c>
      <c r="U6" t="s">
        <v>6</v>
      </c>
      <c r="X6" s="110" t="s">
        <v>350</v>
      </c>
      <c r="Y6" s="110" t="s">
        <v>501</v>
      </c>
      <c r="Z6" s="110" t="str">
        <f>X4&amp;$AA$4</f>
        <v>Connecticut-Other RO</v>
      </c>
    </row>
    <row r="7" spans="1:27" x14ac:dyDescent="0.2">
      <c r="F7">
        <v>6</v>
      </c>
      <c r="G7">
        <v>1</v>
      </c>
      <c r="H7" s="273" t="s">
        <v>128</v>
      </c>
      <c r="I7" s="273" t="s">
        <v>30</v>
      </c>
      <c r="J7" t="s">
        <v>387</v>
      </c>
      <c r="L7">
        <v>6</v>
      </c>
      <c r="M7">
        <v>1</v>
      </c>
      <c r="N7" t="s">
        <v>265</v>
      </c>
      <c r="O7" t="s">
        <v>302</v>
      </c>
      <c r="P7" t="s">
        <v>387</v>
      </c>
      <c r="R7">
        <v>6</v>
      </c>
      <c r="S7">
        <v>2</v>
      </c>
      <c r="T7" t="s">
        <v>120</v>
      </c>
      <c r="U7" t="s">
        <v>76</v>
      </c>
      <c r="X7" s="110" t="s">
        <v>350</v>
      </c>
      <c r="Y7" s="110" t="s">
        <v>503</v>
      </c>
      <c r="Z7" s="110" t="str">
        <f>X4&amp;$AA$5</f>
        <v>Connecticut-NWQ</v>
      </c>
    </row>
    <row r="8" spans="1:27" x14ac:dyDescent="0.2">
      <c r="F8">
        <v>7</v>
      </c>
      <c r="G8">
        <v>1</v>
      </c>
      <c r="H8" s="273" t="s">
        <v>125</v>
      </c>
      <c r="I8" s="273" t="s">
        <v>31</v>
      </c>
      <c r="J8" t="s">
        <v>387</v>
      </c>
      <c r="L8">
        <v>7</v>
      </c>
      <c r="M8">
        <v>1</v>
      </c>
      <c r="N8" t="s">
        <v>246</v>
      </c>
      <c r="O8" t="s">
        <v>300</v>
      </c>
      <c r="P8" t="s">
        <v>387</v>
      </c>
      <c r="R8">
        <v>7</v>
      </c>
      <c r="S8">
        <v>2</v>
      </c>
      <c r="T8" t="s">
        <v>137</v>
      </c>
      <c r="U8" t="s">
        <v>63</v>
      </c>
      <c r="X8" t="s">
        <v>329</v>
      </c>
      <c r="Y8" s="110" t="s">
        <v>646</v>
      </c>
      <c r="Z8" s="110" t="str">
        <f>X8&amp;$AA$2</f>
        <v>Delaware-Total</v>
      </c>
    </row>
    <row r="9" spans="1:27" x14ac:dyDescent="0.2">
      <c r="B9" s="110" t="s">
        <v>845</v>
      </c>
      <c r="F9">
        <v>8</v>
      </c>
      <c r="G9">
        <v>1</v>
      </c>
      <c r="H9" s="273" t="s">
        <v>129</v>
      </c>
      <c r="I9" s="273" t="s">
        <v>35</v>
      </c>
      <c r="J9" t="s">
        <v>387</v>
      </c>
      <c r="L9">
        <v>8</v>
      </c>
      <c r="M9">
        <v>1</v>
      </c>
      <c r="N9" t="s">
        <v>268</v>
      </c>
      <c r="O9" t="s">
        <v>322</v>
      </c>
      <c r="P9" t="s">
        <v>387</v>
      </c>
      <c r="R9">
        <v>8</v>
      </c>
      <c r="S9">
        <v>2</v>
      </c>
      <c r="T9" t="s">
        <v>384</v>
      </c>
      <c r="U9" t="s">
        <v>6</v>
      </c>
      <c r="Y9" s="110" t="s">
        <v>507</v>
      </c>
      <c r="Z9" s="110" t="s">
        <v>727</v>
      </c>
    </row>
    <row r="10" spans="1:27" x14ac:dyDescent="0.2">
      <c r="B10" s="110" t="s">
        <v>431</v>
      </c>
      <c r="D10" s="115">
        <v>1</v>
      </c>
      <c r="F10">
        <v>9</v>
      </c>
      <c r="G10">
        <v>1</v>
      </c>
      <c r="H10" s="273" t="s">
        <v>113</v>
      </c>
      <c r="I10" s="273" t="s">
        <v>37</v>
      </c>
      <c r="J10" t="s">
        <v>387</v>
      </c>
      <c r="L10">
        <v>9</v>
      </c>
      <c r="M10">
        <v>1</v>
      </c>
      <c r="N10" t="s">
        <v>258</v>
      </c>
      <c r="O10" t="s">
        <v>287</v>
      </c>
      <c r="P10" t="s">
        <v>387</v>
      </c>
      <c r="R10">
        <v>9</v>
      </c>
      <c r="S10">
        <v>3</v>
      </c>
      <c r="T10" t="s">
        <v>120</v>
      </c>
      <c r="U10" t="s">
        <v>76</v>
      </c>
      <c r="X10" s="110" t="s">
        <v>350</v>
      </c>
      <c r="Y10" s="110" t="s">
        <v>506</v>
      </c>
      <c r="Z10" s="110" t="str">
        <f>X8&amp;$AA$4</f>
        <v>Delaware-Other RO</v>
      </c>
    </row>
    <row r="11" spans="1:27" x14ac:dyDescent="0.2">
      <c r="B11" s="114" t="s">
        <v>459</v>
      </c>
      <c r="C11" t="str">
        <f>IF(D20=12,"DIST_P",IF(D20=13,"DIST_B",IF(D20=14,"DIST_Q",DS_RO_STG)))</f>
        <v>DIST_NE</v>
      </c>
      <c r="F11">
        <v>10</v>
      </c>
      <c r="G11">
        <v>1</v>
      </c>
      <c r="H11" s="273" t="s">
        <v>126</v>
      </c>
      <c r="I11" s="273" t="s">
        <v>41</v>
      </c>
      <c r="J11" t="s">
        <v>387</v>
      </c>
      <c r="L11">
        <v>10</v>
      </c>
      <c r="M11">
        <v>1</v>
      </c>
      <c r="N11" t="s">
        <v>241</v>
      </c>
      <c r="O11" t="s">
        <v>282</v>
      </c>
      <c r="P11" t="s">
        <v>387</v>
      </c>
      <c r="R11">
        <v>10</v>
      </c>
      <c r="S11">
        <v>3</v>
      </c>
      <c r="T11" t="s">
        <v>152</v>
      </c>
      <c r="U11" t="s">
        <v>64</v>
      </c>
      <c r="X11" s="110" t="s">
        <v>350</v>
      </c>
      <c r="Y11" s="110" t="s">
        <v>508</v>
      </c>
      <c r="Z11" s="110" t="str">
        <f>X8&amp;$AA$5</f>
        <v>Delaware-NWQ</v>
      </c>
    </row>
    <row r="12" spans="1:27" ht="13.5" thickBot="1" x14ac:dyDescent="0.25">
      <c r="F12">
        <v>11</v>
      </c>
      <c r="G12">
        <v>1</v>
      </c>
      <c r="H12" s="273" t="s">
        <v>151</v>
      </c>
      <c r="I12" s="273" t="s">
        <v>47</v>
      </c>
      <c r="J12" t="s">
        <v>387</v>
      </c>
      <c r="L12">
        <v>11</v>
      </c>
      <c r="M12">
        <v>1</v>
      </c>
      <c r="N12" t="s">
        <v>242</v>
      </c>
      <c r="O12" t="s">
        <v>303</v>
      </c>
      <c r="P12" t="s">
        <v>387</v>
      </c>
      <c r="R12">
        <v>11</v>
      </c>
      <c r="S12">
        <v>3</v>
      </c>
      <c r="T12" t="s">
        <v>384</v>
      </c>
      <c r="U12" t="s">
        <v>6</v>
      </c>
      <c r="X12" s="110" t="s">
        <v>262</v>
      </c>
      <c r="Y12" s="110" t="s">
        <v>647</v>
      </c>
      <c r="Z12" s="110" t="str">
        <f>X12&amp;$AA$2</f>
        <v>DC-Total</v>
      </c>
    </row>
    <row r="13" spans="1:27" ht="13.5" thickBot="1" x14ac:dyDescent="0.25">
      <c r="B13" s="111" t="s">
        <v>450</v>
      </c>
      <c r="C13" s="116" t="str">
        <f>INDEX(DIST_DEF,(MATCH($D$10,DIST_ID,0)))</f>
        <v>DIST_NE</v>
      </c>
      <c r="F13">
        <v>12</v>
      </c>
      <c r="G13">
        <v>1</v>
      </c>
      <c r="H13" s="273" t="s">
        <v>130</v>
      </c>
      <c r="I13" s="273" t="s">
        <v>49</v>
      </c>
      <c r="J13" t="s">
        <v>387</v>
      </c>
      <c r="L13">
        <v>12</v>
      </c>
      <c r="M13">
        <v>1</v>
      </c>
      <c r="N13" t="s">
        <v>255</v>
      </c>
      <c r="O13" t="s">
        <v>305</v>
      </c>
      <c r="P13" t="s">
        <v>387</v>
      </c>
      <c r="X13" s="110" t="s">
        <v>350</v>
      </c>
      <c r="Y13" s="110" t="s">
        <v>644</v>
      </c>
      <c r="Z13" s="110" t="s">
        <v>728</v>
      </c>
    </row>
    <row r="14" spans="1:27" ht="13.5" thickBot="1" x14ac:dyDescent="0.25">
      <c r="B14" s="111" t="s">
        <v>451</v>
      </c>
      <c r="C14" s="116" t="str">
        <f>INDEX(DIST_DEF,(MATCH($D$10,DIST_ID,0)))&amp;"_ST"</f>
        <v>DIST_NE_ST</v>
      </c>
      <c r="F14">
        <v>13</v>
      </c>
      <c r="G14">
        <v>1</v>
      </c>
      <c r="H14" s="273" t="s">
        <v>111</v>
      </c>
      <c r="I14" s="273" t="s">
        <v>53</v>
      </c>
      <c r="J14" t="s">
        <v>387</v>
      </c>
      <c r="L14">
        <v>13</v>
      </c>
      <c r="M14">
        <v>1</v>
      </c>
      <c r="N14" t="s">
        <v>275</v>
      </c>
      <c r="O14" t="s">
        <v>321</v>
      </c>
      <c r="P14" t="s">
        <v>387</v>
      </c>
      <c r="X14" s="110" t="s">
        <v>350</v>
      </c>
      <c r="Y14" s="110" t="s">
        <v>504</v>
      </c>
      <c r="Z14" s="110" t="str">
        <f>X12&amp;$AA$4</f>
        <v>DC-Other RO</v>
      </c>
    </row>
    <row r="15" spans="1:27" ht="13.5" thickBot="1" x14ac:dyDescent="0.25">
      <c r="B15" s="111" t="s">
        <v>480</v>
      </c>
      <c r="C15" s="116" t="str">
        <f>INDEX(DIST_DEF,(MATCH($D$10,DIST_ID,0)))&amp;"_NWQ"</f>
        <v>DIST_NE_NWQ</v>
      </c>
      <c r="D15" s="131" t="str">
        <f>INDEX(DIST_DEF,(MATCH($D$10,DIST_ID,0)))&amp;"_NWQD"</f>
        <v>DIST_NE_NWQD</v>
      </c>
      <c r="F15">
        <v>14</v>
      </c>
      <c r="G15">
        <v>1</v>
      </c>
      <c r="H15" s="273" t="s">
        <v>114</v>
      </c>
      <c r="I15" s="273" t="s">
        <v>54</v>
      </c>
      <c r="J15" t="s">
        <v>387</v>
      </c>
      <c r="L15">
        <v>14</v>
      </c>
      <c r="M15">
        <v>1</v>
      </c>
      <c r="N15" t="s">
        <v>273</v>
      </c>
      <c r="O15" t="s">
        <v>285</v>
      </c>
      <c r="P15" t="s">
        <v>387</v>
      </c>
      <c r="T15" s="110" t="s">
        <v>436</v>
      </c>
      <c r="U15" s="110" t="s">
        <v>435</v>
      </c>
      <c r="X15" s="110" t="s">
        <v>350</v>
      </c>
      <c r="Y15" s="110" t="s">
        <v>505</v>
      </c>
      <c r="Z15" s="110" t="str">
        <f>X12&amp;$AA$5</f>
        <v>DC-NWQ</v>
      </c>
    </row>
    <row r="16" spans="1:27" ht="13.5" thickBot="1" x14ac:dyDescent="0.25">
      <c r="B16" s="111"/>
      <c r="C16" s="116" t="str">
        <f>INDEX(DIST_DEF,(MATCH($D$10,DIST_ID,0)))&amp;"_NWQI"</f>
        <v>DIST_NE_NWQI</v>
      </c>
      <c r="D16" s="111"/>
      <c r="F16">
        <v>15</v>
      </c>
      <c r="G16">
        <v>1</v>
      </c>
      <c r="H16" s="273" t="s">
        <v>86</v>
      </c>
      <c r="I16" s="273" t="s">
        <v>56</v>
      </c>
      <c r="J16" t="s">
        <v>387</v>
      </c>
      <c r="L16">
        <v>15</v>
      </c>
      <c r="M16">
        <v>1</v>
      </c>
      <c r="N16" t="s">
        <v>251</v>
      </c>
      <c r="O16" t="s">
        <v>53</v>
      </c>
      <c r="P16" t="s">
        <v>387</v>
      </c>
      <c r="T16" s="259">
        <v>100</v>
      </c>
      <c r="U16" t="s">
        <v>4</v>
      </c>
      <c r="X16" s="110" t="s">
        <v>302</v>
      </c>
      <c r="Y16" s="110" t="s">
        <v>674</v>
      </c>
      <c r="Z16" s="110" t="str">
        <f>X16&amp;$AA$2</f>
        <v>Illinois-Total</v>
      </c>
    </row>
    <row r="17" spans="2:26" x14ac:dyDescent="0.2">
      <c r="F17">
        <v>16</v>
      </c>
      <c r="G17">
        <v>1</v>
      </c>
      <c r="H17" s="273" t="s">
        <v>115</v>
      </c>
      <c r="I17" s="273" t="s">
        <v>58</v>
      </c>
      <c r="J17" t="s">
        <v>387</v>
      </c>
      <c r="L17">
        <v>16</v>
      </c>
      <c r="M17">
        <v>1</v>
      </c>
      <c r="N17" t="s">
        <v>272</v>
      </c>
      <c r="O17" t="s">
        <v>299</v>
      </c>
      <c r="P17" t="s">
        <v>387</v>
      </c>
      <c r="T17" s="259" t="s">
        <v>86</v>
      </c>
      <c r="U17" t="s">
        <v>56</v>
      </c>
      <c r="Y17" s="110" t="s">
        <v>525</v>
      </c>
      <c r="Z17" s="110" t="s">
        <v>763</v>
      </c>
    </row>
    <row r="18" spans="2:26" ht="13.5" thickBot="1" x14ac:dyDescent="0.25">
      <c r="B18" s="110" t="s">
        <v>430</v>
      </c>
      <c r="F18">
        <v>17</v>
      </c>
      <c r="G18">
        <v>1</v>
      </c>
      <c r="H18" s="273" t="s">
        <v>110</v>
      </c>
      <c r="I18" s="273" t="s">
        <v>60</v>
      </c>
      <c r="J18" t="s">
        <v>387</v>
      </c>
      <c r="L18">
        <v>17</v>
      </c>
      <c r="M18">
        <v>1</v>
      </c>
      <c r="N18" t="s">
        <v>263</v>
      </c>
      <c r="O18" t="s">
        <v>286</v>
      </c>
      <c r="P18" t="s">
        <v>387</v>
      </c>
      <c r="T18" s="259" t="s">
        <v>130</v>
      </c>
      <c r="U18" t="s">
        <v>49</v>
      </c>
      <c r="X18" s="110" t="s">
        <v>350</v>
      </c>
      <c r="Y18" s="110" t="s">
        <v>524</v>
      </c>
      <c r="Z18" s="110" t="str">
        <f>X16&amp;$AA$4</f>
        <v>Illinois-Other RO</v>
      </c>
    </row>
    <row r="19" spans="2:26" ht="13.5" thickBot="1" x14ac:dyDescent="0.25">
      <c r="B19" s="112" t="s">
        <v>431</v>
      </c>
      <c r="D19" s="113">
        <v>1</v>
      </c>
      <c r="F19">
        <v>18</v>
      </c>
      <c r="G19">
        <v>1</v>
      </c>
      <c r="H19" s="273" t="s">
        <v>869</v>
      </c>
      <c r="I19" s="273" t="s">
        <v>871</v>
      </c>
      <c r="J19" t="s">
        <v>387</v>
      </c>
      <c r="L19">
        <v>18</v>
      </c>
      <c r="M19">
        <v>1</v>
      </c>
      <c r="N19" t="s">
        <v>276</v>
      </c>
      <c r="O19" t="s">
        <v>283</v>
      </c>
      <c r="P19" t="s">
        <v>387</v>
      </c>
      <c r="T19" s="259" t="s">
        <v>134</v>
      </c>
      <c r="U19" t="s">
        <v>69</v>
      </c>
      <c r="X19" s="110" t="s">
        <v>350</v>
      </c>
      <c r="Y19" s="110" t="s">
        <v>526</v>
      </c>
      <c r="Z19" s="110" t="str">
        <f>X16&amp;$AA$5</f>
        <v>Illinois-NWQ</v>
      </c>
    </row>
    <row r="20" spans="2:26" ht="13.5" thickBot="1" x14ac:dyDescent="0.25">
      <c r="B20" s="112" t="s">
        <v>459</v>
      </c>
      <c r="C20" s="113" t="str">
        <f>INDEX(SMD,(MATCH($D$19,DIST_ID,0)))</f>
        <v>USA - All Missions</v>
      </c>
      <c r="D20">
        <f>IF(SMSA=1,0,SMSA+9)</f>
        <v>0</v>
      </c>
      <c r="F20">
        <v>19</v>
      </c>
      <c r="G20">
        <v>1</v>
      </c>
      <c r="H20" s="273" t="s">
        <v>131</v>
      </c>
      <c r="I20" s="273" t="s">
        <v>68</v>
      </c>
      <c r="J20" t="s">
        <v>387</v>
      </c>
      <c r="L20">
        <v>19</v>
      </c>
      <c r="M20">
        <v>1</v>
      </c>
      <c r="N20" t="s">
        <v>281</v>
      </c>
      <c r="O20" t="s">
        <v>323</v>
      </c>
      <c r="P20" t="s">
        <v>387</v>
      </c>
      <c r="T20" s="259">
        <v>499</v>
      </c>
      <c r="U20" s="110" t="s">
        <v>391</v>
      </c>
      <c r="X20" s="110" t="s">
        <v>300</v>
      </c>
      <c r="Y20" s="110" t="s">
        <v>675</v>
      </c>
      <c r="Z20" s="110" t="str">
        <f>X20&amp;$AA$2</f>
        <v>Indiana-Total</v>
      </c>
    </row>
    <row r="21" spans="2:26" x14ac:dyDescent="0.2">
      <c r="B21" s="111" t="s">
        <v>841</v>
      </c>
      <c r="D21">
        <v>1</v>
      </c>
      <c r="F21">
        <v>20</v>
      </c>
      <c r="G21">
        <v>1</v>
      </c>
      <c r="H21" s="273" t="s">
        <v>153</v>
      </c>
      <c r="I21" s="273" t="s">
        <v>71</v>
      </c>
      <c r="J21" t="s">
        <v>387</v>
      </c>
      <c r="L21">
        <v>20</v>
      </c>
      <c r="M21">
        <v>1</v>
      </c>
      <c r="N21" t="s">
        <v>232</v>
      </c>
      <c r="O21" t="s">
        <v>304</v>
      </c>
      <c r="P21" t="s">
        <v>387</v>
      </c>
      <c r="T21" s="259" t="s">
        <v>384</v>
      </c>
      <c r="U21" t="s">
        <v>6</v>
      </c>
      <c r="Y21" s="110" t="s">
        <v>528</v>
      </c>
      <c r="Z21" s="110" t="s">
        <v>762</v>
      </c>
    </row>
    <row r="22" spans="2:26" x14ac:dyDescent="0.2">
      <c r="B22" s="111" t="s">
        <v>432</v>
      </c>
      <c r="D22">
        <v>11</v>
      </c>
      <c r="F22">
        <v>21</v>
      </c>
      <c r="G22">
        <v>1</v>
      </c>
      <c r="H22" s="273" t="s">
        <v>360</v>
      </c>
      <c r="I22" s="273" t="s">
        <v>73</v>
      </c>
      <c r="J22" t="s">
        <v>387</v>
      </c>
      <c r="L22">
        <v>21</v>
      </c>
      <c r="M22">
        <v>2</v>
      </c>
      <c r="N22" t="s">
        <v>385</v>
      </c>
      <c r="O22" s="110" t="s">
        <v>337</v>
      </c>
      <c r="P22" t="s">
        <v>385</v>
      </c>
      <c r="T22" s="259" t="s">
        <v>120</v>
      </c>
      <c r="U22" t="s">
        <v>76</v>
      </c>
      <c r="X22" s="110" t="s">
        <v>350</v>
      </c>
      <c r="Y22" s="110" t="s">
        <v>527</v>
      </c>
      <c r="Z22" s="110" t="str">
        <f>X20&amp;$AA$4</f>
        <v>Indiana-Other RO</v>
      </c>
    </row>
    <row r="23" spans="2:26" x14ac:dyDescent="0.2">
      <c r="B23" s="111" t="s">
        <v>424</v>
      </c>
      <c r="D23">
        <v>12</v>
      </c>
      <c r="F23">
        <v>22</v>
      </c>
      <c r="G23">
        <v>1</v>
      </c>
      <c r="H23" s="273" t="s">
        <v>78</v>
      </c>
      <c r="I23" s="273" t="s">
        <v>108</v>
      </c>
      <c r="J23" t="s">
        <v>387</v>
      </c>
      <c r="L23">
        <v>22</v>
      </c>
      <c r="M23">
        <v>2</v>
      </c>
      <c r="N23" t="s">
        <v>270</v>
      </c>
      <c r="O23" t="s">
        <v>297</v>
      </c>
      <c r="P23" t="s">
        <v>385</v>
      </c>
      <c r="T23" s="259" t="s">
        <v>137</v>
      </c>
      <c r="U23" t="s">
        <v>63</v>
      </c>
      <c r="X23" s="110" t="s">
        <v>350</v>
      </c>
      <c r="Y23" s="110" t="s">
        <v>529</v>
      </c>
      <c r="Z23" s="110" t="str">
        <f>X20&amp;$AA$5</f>
        <v>Indiana-NWQ</v>
      </c>
    </row>
    <row r="24" spans="2:26" x14ac:dyDescent="0.2">
      <c r="B24" s="111" t="s">
        <v>362</v>
      </c>
      <c r="D24">
        <v>13</v>
      </c>
      <c r="F24">
        <v>23</v>
      </c>
      <c r="G24">
        <v>1</v>
      </c>
      <c r="H24" s="273" t="s">
        <v>159</v>
      </c>
      <c r="I24" s="273" t="s">
        <v>75</v>
      </c>
      <c r="J24" t="s">
        <v>387</v>
      </c>
      <c r="L24">
        <v>23</v>
      </c>
      <c r="M24">
        <v>2</v>
      </c>
      <c r="N24" t="s">
        <v>231</v>
      </c>
      <c r="O24" t="s">
        <v>317</v>
      </c>
      <c r="P24" t="s">
        <v>385</v>
      </c>
      <c r="T24" s="259">
        <v>499</v>
      </c>
      <c r="U24" s="110" t="s">
        <v>391</v>
      </c>
      <c r="X24" t="s">
        <v>322</v>
      </c>
      <c r="Y24" s="110" t="s">
        <v>681</v>
      </c>
      <c r="Z24" s="110" t="str">
        <f>X24&amp;$AA$2</f>
        <v>Maine-Total</v>
      </c>
    </row>
    <row r="25" spans="2:26" x14ac:dyDescent="0.2">
      <c r="B25" s="111" t="s">
        <v>433</v>
      </c>
      <c r="D25">
        <v>14</v>
      </c>
      <c r="F25">
        <v>24</v>
      </c>
      <c r="G25">
        <v>2</v>
      </c>
      <c r="H25" t="s">
        <v>385</v>
      </c>
      <c r="I25" s="110" t="s">
        <v>337</v>
      </c>
      <c r="J25" t="s">
        <v>385</v>
      </c>
      <c r="L25">
        <v>24</v>
      </c>
      <c r="M25">
        <v>2</v>
      </c>
      <c r="N25" t="s">
        <v>233</v>
      </c>
      <c r="O25" t="s">
        <v>331</v>
      </c>
      <c r="P25" t="s">
        <v>385</v>
      </c>
      <c r="T25" s="259" t="s">
        <v>384</v>
      </c>
      <c r="U25" t="s">
        <v>6</v>
      </c>
      <c r="Y25" s="110" t="s">
        <v>546</v>
      </c>
      <c r="Z25" s="110" t="s">
        <v>730</v>
      </c>
    </row>
    <row r="26" spans="2:26" x14ac:dyDescent="0.2">
      <c r="F26">
        <v>25</v>
      </c>
      <c r="G26">
        <v>2</v>
      </c>
      <c r="H26" s="273" t="s">
        <v>118</v>
      </c>
      <c r="I26" s="273" t="s">
        <v>21</v>
      </c>
      <c r="J26" t="s">
        <v>385</v>
      </c>
      <c r="L26">
        <v>25</v>
      </c>
      <c r="M26">
        <v>2</v>
      </c>
      <c r="N26" t="s">
        <v>278</v>
      </c>
      <c r="O26" t="s">
        <v>291</v>
      </c>
      <c r="P26" t="s">
        <v>385</v>
      </c>
      <c r="T26" s="259" t="s">
        <v>120</v>
      </c>
      <c r="U26" t="s">
        <v>76</v>
      </c>
      <c r="Y26" s="110" t="s">
        <v>545</v>
      </c>
      <c r="Z26" s="110" t="str">
        <f>X24&amp;$AA$4</f>
        <v>Maine-Other RO</v>
      </c>
    </row>
    <row r="27" spans="2:26" x14ac:dyDescent="0.2">
      <c r="B27" t="s">
        <v>714</v>
      </c>
      <c r="F27">
        <v>26</v>
      </c>
      <c r="G27">
        <v>2</v>
      </c>
      <c r="H27" s="273" t="s">
        <v>121</v>
      </c>
      <c r="I27" s="273" t="s">
        <v>32</v>
      </c>
      <c r="J27" t="s">
        <v>385</v>
      </c>
      <c r="L27">
        <v>26</v>
      </c>
      <c r="M27">
        <v>2</v>
      </c>
      <c r="N27" t="s">
        <v>252</v>
      </c>
      <c r="O27" t="s">
        <v>301</v>
      </c>
      <c r="P27" t="s">
        <v>385</v>
      </c>
      <c r="T27" s="259" t="s">
        <v>152</v>
      </c>
      <c r="U27" t="s">
        <v>64</v>
      </c>
      <c r="Y27" s="110" t="s">
        <v>547</v>
      </c>
      <c r="Z27" s="110" t="str">
        <f>X24&amp;$AA$5</f>
        <v>Maine-NWQ</v>
      </c>
    </row>
    <row r="28" spans="2:26" x14ac:dyDescent="0.2">
      <c r="B28" t="s">
        <v>715</v>
      </c>
      <c r="C28">
        <v>1000</v>
      </c>
      <c r="F28">
        <v>27</v>
      </c>
      <c r="G28">
        <v>2</v>
      </c>
      <c r="H28" s="273">
        <v>315</v>
      </c>
      <c r="I28" s="273" t="s">
        <v>40</v>
      </c>
      <c r="J28" t="s">
        <v>385</v>
      </c>
      <c r="L28">
        <v>27</v>
      </c>
      <c r="M28">
        <v>2</v>
      </c>
      <c r="N28" t="s">
        <v>236</v>
      </c>
      <c r="O28" t="s">
        <v>296</v>
      </c>
      <c r="P28" t="s">
        <v>385</v>
      </c>
      <c r="T28" s="259">
        <v>499</v>
      </c>
      <c r="U28" s="110" t="s">
        <v>391</v>
      </c>
      <c r="X28" t="s">
        <v>287</v>
      </c>
      <c r="Y28" s="110" t="s">
        <v>680</v>
      </c>
      <c r="Z28" s="110" t="str">
        <f>X28&amp;$AA$2</f>
        <v>Maryland-Total</v>
      </c>
    </row>
    <row r="29" spans="2:26" x14ac:dyDescent="0.2">
      <c r="B29" s="110" t="s">
        <v>724</v>
      </c>
      <c r="C29">
        <v>2000</v>
      </c>
      <c r="F29">
        <v>28</v>
      </c>
      <c r="G29">
        <v>2</v>
      </c>
      <c r="H29" s="273" t="s">
        <v>124</v>
      </c>
      <c r="I29" s="273" t="s">
        <v>42</v>
      </c>
      <c r="J29" t="s">
        <v>385</v>
      </c>
      <c r="L29">
        <v>28</v>
      </c>
      <c r="M29">
        <v>2</v>
      </c>
      <c r="N29" t="s">
        <v>271</v>
      </c>
      <c r="O29" t="s">
        <v>298</v>
      </c>
      <c r="P29" t="s">
        <v>385</v>
      </c>
      <c r="T29" s="259" t="s">
        <v>384</v>
      </c>
      <c r="U29" t="s">
        <v>6</v>
      </c>
      <c r="Y29" s="110" t="s">
        <v>543</v>
      </c>
      <c r="Z29" s="110" t="s">
        <v>733</v>
      </c>
    </row>
    <row r="30" spans="2:26" x14ac:dyDescent="0.2">
      <c r="B30" s="110" t="s">
        <v>725</v>
      </c>
      <c r="C30">
        <v>3000</v>
      </c>
      <c r="F30">
        <v>29</v>
      </c>
      <c r="G30">
        <v>2</v>
      </c>
      <c r="H30" s="273" t="s">
        <v>145</v>
      </c>
      <c r="I30" s="273" t="s">
        <v>44</v>
      </c>
      <c r="J30" t="s">
        <v>385</v>
      </c>
      <c r="L30">
        <v>29</v>
      </c>
      <c r="M30">
        <v>2</v>
      </c>
      <c r="N30" t="s">
        <v>264</v>
      </c>
      <c r="O30" t="s">
        <v>292</v>
      </c>
      <c r="P30" t="s">
        <v>385</v>
      </c>
      <c r="Y30" s="110" t="s">
        <v>542</v>
      </c>
      <c r="Z30" s="110" t="str">
        <f>X28&amp;$AA$4</f>
        <v>Maryland-Other RO</v>
      </c>
    </row>
    <row r="31" spans="2:26" x14ac:dyDescent="0.2">
      <c r="B31" t="s">
        <v>186</v>
      </c>
      <c r="C31">
        <v>2100</v>
      </c>
      <c r="F31">
        <v>30</v>
      </c>
      <c r="G31">
        <v>2</v>
      </c>
      <c r="H31" s="273" t="s">
        <v>127</v>
      </c>
      <c r="I31" s="273" t="s">
        <v>46</v>
      </c>
      <c r="J31" t="s">
        <v>385</v>
      </c>
      <c r="L31">
        <v>30</v>
      </c>
      <c r="M31">
        <v>2</v>
      </c>
      <c r="N31" t="s">
        <v>247</v>
      </c>
      <c r="O31" t="s">
        <v>333</v>
      </c>
      <c r="P31" t="s">
        <v>385</v>
      </c>
      <c r="Y31" s="110" t="s">
        <v>544</v>
      </c>
      <c r="Z31" s="110" t="str">
        <f>X28&amp;$AA$5</f>
        <v>Maryland-NWQ</v>
      </c>
    </row>
    <row r="32" spans="2:26" x14ac:dyDescent="0.2">
      <c r="B32" t="s">
        <v>720</v>
      </c>
      <c r="C32">
        <v>2200</v>
      </c>
      <c r="F32">
        <v>31</v>
      </c>
      <c r="G32">
        <v>2</v>
      </c>
      <c r="H32" s="273" t="s">
        <v>123</v>
      </c>
      <c r="I32" s="273" t="s">
        <v>50</v>
      </c>
      <c r="J32" t="s">
        <v>385</v>
      </c>
      <c r="L32">
        <v>31</v>
      </c>
      <c r="M32">
        <v>2</v>
      </c>
      <c r="N32" t="s">
        <v>256</v>
      </c>
      <c r="O32" t="s">
        <v>293</v>
      </c>
      <c r="P32" t="s">
        <v>385</v>
      </c>
      <c r="X32" t="s">
        <v>282</v>
      </c>
      <c r="Y32" s="110" t="s">
        <v>679</v>
      </c>
      <c r="Z32" s="110" t="str">
        <f>X32&amp;$AA$2</f>
        <v>Massachusetts-Total</v>
      </c>
    </row>
    <row r="33" spans="2:26" x14ac:dyDescent="0.2">
      <c r="B33" t="s">
        <v>721</v>
      </c>
      <c r="C33">
        <v>2300</v>
      </c>
      <c r="F33">
        <v>32</v>
      </c>
      <c r="G33">
        <v>2</v>
      </c>
      <c r="H33" s="273" t="s">
        <v>80</v>
      </c>
      <c r="I33" s="273" t="s">
        <v>51</v>
      </c>
      <c r="J33" t="s">
        <v>385</v>
      </c>
      <c r="L33">
        <v>32</v>
      </c>
      <c r="M33">
        <v>2</v>
      </c>
      <c r="N33" t="s">
        <v>259</v>
      </c>
      <c r="O33" t="s">
        <v>294</v>
      </c>
      <c r="P33" t="s">
        <v>385</v>
      </c>
      <c r="Y33" s="110" t="s">
        <v>540</v>
      </c>
      <c r="Z33" s="110" t="s">
        <v>734</v>
      </c>
    </row>
    <row r="34" spans="2:26" x14ac:dyDescent="0.2">
      <c r="B34" t="s">
        <v>185</v>
      </c>
      <c r="C34">
        <v>2400</v>
      </c>
      <c r="F34">
        <v>33</v>
      </c>
      <c r="G34">
        <v>2</v>
      </c>
      <c r="H34" s="273" t="s">
        <v>122</v>
      </c>
      <c r="I34" s="273" t="s">
        <v>52</v>
      </c>
      <c r="J34" t="s">
        <v>385</v>
      </c>
      <c r="L34">
        <v>33</v>
      </c>
      <c r="M34">
        <v>2</v>
      </c>
      <c r="N34" t="s">
        <v>237</v>
      </c>
      <c r="O34" t="s">
        <v>288</v>
      </c>
      <c r="P34" t="s">
        <v>385</v>
      </c>
      <c r="Y34" s="110" t="s">
        <v>539</v>
      </c>
      <c r="Z34" s="110" t="str">
        <f>X32&amp;$AA$4</f>
        <v>Massachusetts-Other RO</v>
      </c>
    </row>
    <row r="35" spans="2:26" x14ac:dyDescent="0.2">
      <c r="B35" t="s">
        <v>722</v>
      </c>
      <c r="C35">
        <v>2500</v>
      </c>
      <c r="F35">
        <v>34</v>
      </c>
      <c r="G35">
        <v>2</v>
      </c>
      <c r="H35" s="273" t="s">
        <v>89</v>
      </c>
      <c r="I35" s="273" t="s">
        <v>62</v>
      </c>
      <c r="J35" t="s">
        <v>385</v>
      </c>
      <c r="L35">
        <v>34</v>
      </c>
      <c r="M35">
        <v>2</v>
      </c>
      <c r="N35" t="s">
        <v>253</v>
      </c>
      <c r="O35" t="s">
        <v>289</v>
      </c>
      <c r="P35" t="s">
        <v>385</v>
      </c>
      <c r="Y35" s="110" t="s">
        <v>541</v>
      </c>
      <c r="Z35" s="110" t="str">
        <f>X32&amp;$AA$5</f>
        <v>Massachusetts-NWQ</v>
      </c>
    </row>
    <row r="36" spans="2:26" x14ac:dyDescent="0.2">
      <c r="B36" t="s">
        <v>723</v>
      </c>
      <c r="C36">
        <v>2600</v>
      </c>
      <c r="F36">
        <v>35</v>
      </c>
      <c r="G36">
        <v>2</v>
      </c>
      <c r="H36" s="273" t="s">
        <v>148</v>
      </c>
      <c r="I36" s="273" t="s">
        <v>65</v>
      </c>
      <c r="J36" t="s">
        <v>385</v>
      </c>
      <c r="L36">
        <v>35</v>
      </c>
      <c r="M36">
        <v>3</v>
      </c>
      <c r="N36" t="s">
        <v>386</v>
      </c>
      <c r="O36" t="s">
        <v>335</v>
      </c>
      <c r="P36" t="s">
        <v>386</v>
      </c>
      <c r="X36" s="110" t="s">
        <v>303</v>
      </c>
      <c r="Y36" s="110" t="s">
        <v>682</v>
      </c>
      <c r="Z36" s="110" t="str">
        <f>X36&amp;$AA$2</f>
        <v>Michigan-Total</v>
      </c>
    </row>
    <row r="37" spans="2:26" x14ac:dyDescent="0.2">
      <c r="B37" t="s">
        <v>183</v>
      </c>
      <c r="C37">
        <v>3100</v>
      </c>
      <c r="F37">
        <v>36</v>
      </c>
      <c r="G37">
        <v>2</v>
      </c>
      <c r="H37" s="273" t="s">
        <v>119</v>
      </c>
      <c r="I37" s="273" t="s">
        <v>70</v>
      </c>
      <c r="J37" t="s">
        <v>385</v>
      </c>
      <c r="L37">
        <v>36</v>
      </c>
      <c r="M37">
        <v>3</v>
      </c>
      <c r="N37" t="s">
        <v>266</v>
      </c>
      <c r="O37" t="s">
        <v>309</v>
      </c>
      <c r="P37" t="s">
        <v>386</v>
      </c>
      <c r="Y37" s="110" t="s">
        <v>549</v>
      </c>
      <c r="Z37" s="110" t="s">
        <v>759</v>
      </c>
    </row>
    <row r="38" spans="2:26" x14ac:dyDescent="0.2">
      <c r="B38" t="s">
        <v>716</v>
      </c>
      <c r="C38">
        <v>3200</v>
      </c>
      <c r="F38">
        <v>37</v>
      </c>
      <c r="G38">
        <v>2</v>
      </c>
      <c r="H38" s="273" t="s">
        <v>120</v>
      </c>
      <c r="I38" s="273" t="s">
        <v>76</v>
      </c>
      <c r="J38" t="s">
        <v>385</v>
      </c>
      <c r="L38">
        <v>37</v>
      </c>
      <c r="M38">
        <v>3</v>
      </c>
      <c r="N38" t="s">
        <v>279</v>
      </c>
      <c r="O38" t="s">
        <v>306</v>
      </c>
      <c r="P38" t="s">
        <v>386</v>
      </c>
      <c r="Y38" s="110" t="s">
        <v>548</v>
      </c>
      <c r="Z38" s="110" t="str">
        <f>X36&amp;$AA$4</f>
        <v>Michigan-Other RO</v>
      </c>
    </row>
    <row r="39" spans="2:26" x14ac:dyDescent="0.2">
      <c r="B39" t="s">
        <v>717</v>
      </c>
      <c r="C39">
        <v>3300</v>
      </c>
      <c r="F39">
        <v>38</v>
      </c>
      <c r="G39">
        <v>3</v>
      </c>
      <c r="H39" t="s">
        <v>386</v>
      </c>
      <c r="I39" t="s">
        <v>335</v>
      </c>
      <c r="J39" t="s">
        <v>386</v>
      </c>
      <c r="L39">
        <v>38</v>
      </c>
      <c r="M39">
        <v>3</v>
      </c>
      <c r="N39" t="s">
        <v>280</v>
      </c>
      <c r="O39" t="s">
        <v>328</v>
      </c>
      <c r="P39" t="s">
        <v>386</v>
      </c>
      <c r="Y39" s="110" t="s">
        <v>550</v>
      </c>
      <c r="Z39" s="110" t="str">
        <f>X36&amp;$AA$5</f>
        <v>Michigan-NWQ</v>
      </c>
    </row>
    <row r="40" spans="2:26" x14ac:dyDescent="0.2">
      <c r="B40" t="s">
        <v>179</v>
      </c>
      <c r="C40">
        <v>3400</v>
      </c>
      <c r="F40">
        <v>39</v>
      </c>
      <c r="G40">
        <v>3</v>
      </c>
      <c r="H40" s="273" t="s">
        <v>361</v>
      </c>
      <c r="I40" s="273" t="s">
        <v>872</v>
      </c>
      <c r="J40" t="s">
        <v>386</v>
      </c>
      <c r="L40">
        <v>39</v>
      </c>
      <c r="M40">
        <v>3</v>
      </c>
      <c r="N40" t="s">
        <v>249</v>
      </c>
      <c r="O40" t="s">
        <v>308</v>
      </c>
      <c r="P40" t="s">
        <v>386</v>
      </c>
      <c r="X40" s="110" t="s">
        <v>305</v>
      </c>
      <c r="Y40" s="110" t="s">
        <v>684</v>
      </c>
      <c r="Z40" s="110" t="str">
        <f>X40&amp;$AA$2</f>
        <v>Missouri-Total</v>
      </c>
    </row>
    <row r="41" spans="2:26" x14ac:dyDescent="0.2">
      <c r="B41" t="s">
        <v>718</v>
      </c>
      <c r="C41">
        <v>3500</v>
      </c>
      <c r="F41">
        <v>40</v>
      </c>
      <c r="G41">
        <v>3</v>
      </c>
      <c r="H41" s="273" t="s">
        <v>135</v>
      </c>
      <c r="I41" s="273" t="s">
        <v>33</v>
      </c>
      <c r="J41" t="s">
        <v>386</v>
      </c>
      <c r="L41">
        <v>40</v>
      </c>
      <c r="M41">
        <v>3</v>
      </c>
      <c r="N41" t="s">
        <v>274</v>
      </c>
      <c r="O41" t="s">
        <v>324</v>
      </c>
      <c r="P41" t="s">
        <v>386</v>
      </c>
      <c r="Y41" s="110" t="s">
        <v>555</v>
      </c>
      <c r="Z41" s="110" t="s">
        <v>757</v>
      </c>
    </row>
    <row r="42" spans="2:26" x14ac:dyDescent="0.2">
      <c r="B42" t="s">
        <v>719</v>
      </c>
      <c r="C42">
        <v>3600</v>
      </c>
      <c r="F42">
        <v>41</v>
      </c>
      <c r="G42">
        <v>3</v>
      </c>
      <c r="H42" s="273" t="s">
        <v>132</v>
      </c>
      <c r="I42" s="273" t="s">
        <v>34</v>
      </c>
      <c r="J42" t="s">
        <v>386</v>
      </c>
      <c r="L42">
        <v>41</v>
      </c>
      <c r="M42">
        <v>3</v>
      </c>
      <c r="N42" t="s">
        <v>238</v>
      </c>
      <c r="O42" t="s">
        <v>307</v>
      </c>
      <c r="P42" t="s">
        <v>386</v>
      </c>
      <c r="Y42" s="110" t="s">
        <v>554</v>
      </c>
      <c r="Z42" s="110" t="str">
        <f>X40&amp;$AA$4</f>
        <v>Missouri-Other RO</v>
      </c>
    </row>
    <row r="43" spans="2:26" x14ac:dyDescent="0.2">
      <c r="B43" s="110"/>
      <c r="F43">
        <v>42</v>
      </c>
      <c r="G43">
        <v>3</v>
      </c>
      <c r="H43" s="273" t="s">
        <v>155</v>
      </c>
      <c r="I43" t="s">
        <v>36</v>
      </c>
      <c r="J43" t="s">
        <v>386</v>
      </c>
      <c r="L43">
        <v>42</v>
      </c>
      <c r="M43">
        <v>3</v>
      </c>
      <c r="N43" t="s">
        <v>239</v>
      </c>
      <c r="O43" t="s">
        <v>325</v>
      </c>
      <c r="P43" t="s">
        <v>386</v>
      </c>
      <c r="Y43" s="110" t="s">
        <v>556</v>
      </c>
      <c r="Z43" s="110" t="str">
        <f>X40&amp;$AA$5</f>
        <v>Missouri-NWQ</v>
      </c>
    </row>
    <row r="44" spans="2:26" x14ac:dyDescent="0.2">
      <c r="B44" s="110" t="s">
        <v>845</v>
      </c>
      <c r="F44">
        <v>43</v>
      </c>
      <c r="G44">
        <v>3</v>
      </c>
      <c r="H44" s="273" t="s">
        <v>154</v>
      </c>
      <c r="I44" t="s">
        <v>873</v>
      </c>
      <c r="J44" t="s">
        <v>386</v>
      </c>
      <c r="L44">
        <v>43</v>
      </c>
      <c r="M44">
        <v>3</v>
      </c>
      <c r="N44" t="s">
        <v>254</v>
      </c>
      <c r="O44" t="s">
        <v>318</v>
      </c>
      <c r="P44" t="s">
        <v>386</v>
      </c>
      <c r="X44" t="s">
        <v>321</v>
      </c>
      <c r="Y44" s="110" t="s">
        <v>690</v>
      </c>
      <c r="Z44" s="110" t="str">
        <f>X44&amp;$AA$2</f>
        <v>New Hampshire-Total</v>
      </c>
    </row>
    <row r="45" spans="2:26" x14ac:dyDescent="0.2">
      <c r="B45" s="110" t="s">
        <v>431</v>
      </c>
      <c r="D45" s="115">
        <v>6</v>
      </c>
      <c r="F45">
        <v>44</v>
      </c>
      <c r="G45">
        <v>3</v>
      </c>
      <c r="H45" s="273" t="s">
        <v>150</v>
      </c>
      <c r="I45" t="s">
        <v>39</v>
      </c>
      <c r="J45" t="s">
        <v>386</v>
      </c>
      <c r="L45">
        <v>44</v>
      </c>
      <c r="M45">
        <v>3</v>
      </c>
      <c r="N45" t="s">
        <v>257</v>
      </c>
      <c r="O45" t="s">
        <v>326</v>
      </c>
      <c r="P45" t="s">
        <v>386</v>
      </c>
      <c r="Y45" s="110" t="s">
        <v>573</v>
      </c>
      <c r="Z45" s="110" t="s">
        <v>729</v>
      </c>
    </row>
    <row r="46" spans="2:26" x14ac:dyDescent="0.2">
      <c r="B46" s="114" t="s">
        <v>459</v>
      </c>
      <c r="C46" t="str">
        <f>IF(D10=6,DS_RO&amp;"_N",IF(D20&gt;11,DS_RO&amp;"_N",DS_RO))</f>
        <v>DIST_NE</v>
      </c>
      <c r="F46">
        <v>45</v>
      </c>
      <c r="G46">
        <v>3</v>
      </c>
      <c r="H46" s="273" t="s">
        <v>133</v>
      </c>
      <c r="I46" t="s">
        <v>43</v>
      </c>
      <c r="J46" t="s">
        <v>386</v>
      </c>
      <c r="L46">
        <v>45</v>
      </c>
      <c r="M46">
        <v>3</v>
      </c>
      <c r="N46" t="s">
        <v>243</v>
      </c>
      <c r="O46" t="s">
        <v>316</v>
      </c>
      <c r="P46" t="s">
        <v>386</v>
      </c>
      <c r="Y46" s="110" t="s">
        <v>572</v>
      </c>
      <c r="Z46" s="110" t="str">
        <f>X44&amp;$AA$4</f>
        <v>New Hampshire-Other RO</v>
      </c>
    </row>
    <row r="47" spans="2:26" x14ac:dyDescent="0.2">
      <c r="F47">
        <v>46</v>
      </c>
      <c r="G47">
        <v>3</v>
      </c>
      <c r="H47" s="273" t="s">
        <v>146</v>
      </c>
      <c r="I47" t="s">
        <v>23</v>
      </c>
      <c r="J47" t="s">
        <v>386</v>
      </c>
      <c r="L47">
        <v>46</v>
      </c>
      <c r="M47">
        <v>3</v>
      </c>
      <c r="N47" t="s">
        <v>235</v>
      </c>
      <c r="O47" t="s">
        <v>327</v>
      </c>
      <c r="P47" t="s">
        <v>386</v>
      </c>
      <c r="Y47" s="110" t="s">
        <v>574</v>
      </c>
      <c r="Z47" s="110" t="str">
        <f>X44&amp;$AA$5</f>
        <v>New Hampshire-NWQ</v>
      </c>
    </row>
    <row r="48" spans="2:26" x14ac:dyDescent="0.2">
      <c r="F48">
        <v>47</v>
      </c>
      <c r="G48">
        <v>3</v>
      </c>
      <c r="H48" s="273" t="s">
        <v>156</v>
      </c>
      <c r="I48" t="s">
        <v>67</v>
      </c>
      <c r="J48" t="s">
        <v>386</v>
      </c>
      <c r="L48">
        <v>47</v>
      </c>
      <c r="M48">
        <v>4</v>
      </c>
      <c r="N48" t="s">
        <v>388</v>
      </c>
      <c r="O48" t="s">
        <v>336</v>
      </c>
      <c r="P48" t="s">
        <v>388</v>
      </c>
      <c r="X48" t="s">
        <v>285</v>
      </c>
      <c r="Y48" s="110" t="s">
        <v>691</v>
      </c>
      <c r="Z48" s="110" t="str">
        <f>X48&amp;$AA$2</f>
        <v>New Jersey-Total</v>
      </c>
    </row>
    <row r="49" spans="6:31" x14ac:dyDescent="0.2">
      <c r="F49">
        <v>48</v>
      </c>
      <c r="G49">
        <v>3</v>
      </c>
      <c r="H49" s="273" t="s">
        <v>134</v>
      </c>
      <c r="I49" t="s">
        <v>69</v>
      </c>
      <c r="J49" t="s">
        <v>386</v>
      </c>
      <c r="L49">
        <v>48</v>
      </c>
      <c r="M49">
        <v>4</v>
      </c>
      <c r="N49" t="s">
        <v>354</v>
      </c>
      <c r="O49" t="s">
        <v>330</v>
      </c>
      <c r="P49" t="s">
        <v>388</v>
      </c>
      <c r="Y49" s="110" t="s">
        <v>576</v>
      </c>
      <c r="Z49" s="110" t="s">
        <v>735</v>
      </c>
    </row>
    <row r="50" spans="6:31" x14ac:dyDescent="0.2">
      <c r="F50">
        <v>49</v>
      </c>
      <c r="G50">
        <v>3</v>
      </c>
      <c r="H50" s="273" t="s">
        <v>144</v>
      </c>
      <c r="I50" t="s">
        <v>72</v>
      </c>
      <c r="J50" t="s">
        <v>386</v>
      </c>
      <c r="L50">
        <v>49</v>
      </c>
      <c r="M50">
        <v>4</v>
      </c>
      <c r="N50" t="s">
        <v>261</v>
      </c>
      <c r="O50" t="s">
        <v>332</v>
      </c>
      <c r="P50" t="s">
        <v>388</v>
      </c>
      <c r="Y50" s="110" t="s">
        <v>575</v>
      </c>
      <c r="Z50" s="110" t="str">
        <f>X48&amp;$AA$4</f>
        <v>New Jersey-Other RO</v>
      </c>
    </row>
    <row r="51" spans="6:31" x14ac:dyDescent="0.2">
      <c r="F51">
        <v>50</v>
      </c>
      <c r="G51">
        <v>3</v>
      </c>
      <c r="H51" s="273" t="s">
        <v>157</v>
      </c>
      <c r="I51" t="s">
        <v>74</v>
      </c>
      <c r="J51" t="s">
        <v>386</v>
      </c>
      <c r="L51">
        <v>50</v>
      </c>
      <c r="M51">
        <v>4</v>
      </c>
      <c r="N51" t="s">
        <v>248</v>
      </c>
      <c r="O51" t="s">
        <v>313</v>
      </c>
      <c r="P51" t="s">
        <v>388</v>
      </c>
      <c r="Y51" s="110" t="s">
        <v>577</v>
      </c>
      <c r="Z51" s="110" t="str">
        <f>X48&amp;$AA$5</f>
        <v>New Jersey-NWQ</v>
      </c>
    </row>
    <row r="52" spans="6:31" x14ac:dyDescent="0.2">
      <c r="F52">
        <v>51</v>
      </c>
      <c r="G52">
        <v>4</v>
      </c>
      <c r="H52" t="s">
        <v>388</v>
      </c>
      <c r="I52" t="s">
        <v>336</v>
      </c>
      <c r="J52" t="s">
        <v>388</v>
      </c>
      <c r="L52">
        <v>51</v>
      </c>
      <c r="M52">
        <v>4</v>
      </c>
      <c r="N52" t="s">
        <v>277</v>
      </c>
      <c r="O52" t="s">
        <v>334</v>
      </c>
      <c r="P52" t="s">
        <v>388</v>
      </c>
      <c r="X52" t="s">
        <v>53</v>
      </c>
      <c r="Y52" s="110" t="s">
        <v>694</v>
      </c>
      <c r="Z52" s="110" t="str">
        <f>X52&amp;$AA$2</f>
        <v>New York-Total</v>
      </c>
    </row>
    <row r="53" spans="6:31" x14ac:dyDescent="0.2">
      <c r="F53">
        <v>52</v>
      </c>
      <c r="G53">
        <v>4</v>
      </c>
      <c r="H53" s="273" t="s">
        <v>136</v>
      </c>
      <c r="I53" t="s">
        <v>25</v>
      </c>
      <c r="J53" t="s">
        <v>388</v>
      </c>
      <c r="L53">
        <v>52</v>
      </c>
      <c r="M53">
        <v>4</v>
      </c>
      <c r="N53" t="s">
        <v>250</v>
      </c>
      <c r="O53" t="s">
        <v>314</v>
      </c>
      <c r="P53" t="s">
        <v>388</v>
      </c>
      <c r="Y53" s="110" t="s">
        <v>586</v>
      </c>
      <c r="Z53" s="110" t="s">
        <v>743</v>
      </c>
    </row>
    <row r="54" spans="6:31" x14ac:dyDescent="0.2">
      <c r="F54">
        <v>53</v>
      </c>
      <c r="G54">
        <v>4</v>
      </c>
      <c r="H54" s="273" t="s">
        <v>160</v>
      </c>
      <c r="I54" t="s">
        <v>26</v>
      </c>
      <c r="J54" t="s">
        <v>388</v>
      </c>
      <c r="L54">
        <v>53</v>
      </c>
      <c r="M54">
        <v>4</v>
      </c>
      <c r="N54" t="s">
        <v>244</v>
      </c>
      <c r="O54" t="s">
        <v>319</v>
      </c>
      <c r="P54" t="s">
        <v>388</v>
      </c>
      <c r="Y54" s="110" t="s">
        <v>585</v>
      </c>
      <c r="Z54" s="110" t="s">
        <v>736</v>
      </c>
    </row>
    <row r="55" spans="6:31" x14ac:dyDescent="0.2">
      <c r="F55">
        <v>54</v>
      </c>
      <c r="G55">
        <v>4</v>
      </c>
      <c r="H55" s="273" t="s">
        <v>142</v>
      </c>
      <c r="I55" t="s">
        <v>28</v>
      </c>
      <c r="J55" t="s">
        <v>388</v>
      </c>
      <c r="L55">
        <v>54</v>
      </c>
      <c r="M55">
        <v>4</v>
      </c>
      <c r="N55" t="s">
        <v>234</v>
      </c>
      <c r="O55" t="s">
        <v>311</v>
      </c>
      <c r="P55" t="s">
        <v>388</v>
      </c>
      <c r="Y55" s="110" t="s">
        <v>584</v>
      </c>
      <c r="Z55" s="110" t="str">
        <f>X52&amp;$AA$4</f>
        <v>New York-Other RO</v>
      </c>
    </row>
    <row r="56" spans="6:31" x14ac:dyDescent="0.2">
      <c r="F56">
        <v>55</v>
      </c>
      <c r="G56">
        <v>4</v>
      </c>
      <c r="H56" s="273" t="s">
        <v>158</v>
      </c>
      <c r="I56" t="s">
        <v>38</v>
      </c>
      <c r="J56" t="s">
        <v>388</v>
      </c>
      <c r="L56">
        <v>55</v>
      </c>
      <c r="M56">
        <v>4</v>
      </c>
      <c r="N56" t="s">
        <v>267</v>
      </c>
      <c r="O56" t="s">
        <v>315</v>
      </c>
      <c r="P56" t="s">
        <v>388</v>
      </c>
      <c r="Y56" s="110" t="s">
        <v>587</v>
      </c>
      <c r="Z56" s="110" t="str">
        <f>X52&amp;$AA$5</f>
        <v>New York-NWQ</v>
      </c>
    </row>
    <row r="57" spans="6:31" x14ac:dyDescent="0.2">
      <c r="F57">
        <v>56</v>
      </c>
      <c r="G57">
        <v>4</v>
      </c>
      <c r="H57" s="273" t="s">
        <v>139</v>
      </c>
      <c r="I57" t="s">
        <v>45</v>
      </c>
      <c r="J57" t="s">
        <v>388</v>
      </c>
      <c r="L57">
        <v>56</v>
      </c>
      <c r="M57">
        <v>4</v>
      </c>
      <c r="N57" t="s">
        <v>392</v>
      </c>
      <c r="O57" t="s">
        <v>357</v>
      </c>
      <c r="P57" t="s">
        <v>388</v>
      </c>
      <c r="X57" s="110" t="s">
        <v>299</v>
      </c>
      <c r="Y57" s="110" t="s">
        <v>695</v>
      </c>
      <c r="Z57" s="110" t="str">
        <f>X57&amp;$AA$2</f>
        <v>Ohio-Total</v>
      </c>
      <c r="AD57" s="110"/>
      <c r="AE57" s="110"/>
    </row>
    <row r="58" spans="6:31" x14ac:dyDescent="0.2">
      <c r="F58">
        <v>57</v>
      </c>
      <c r="G58">
        <v>4</v>
      </c>
      <c r="H58" s="273" t="s">
        <v>149</v>
      </c>
      <c r="I58" t="s">
        <v>48</v>
      </c>
      <c r="J58" t="s">
        <v>388</v>
      </c>
      <c r="L58">
        <v>57</v>
      </c>
      <c r="M58">
        <v>4</v>
      </c>
      <c r="N58" t="s">
        <v>260</v>
      </c>
      <c r="O58" t="s">
        <v>312</v>
      </c>
      <c r="P58" t="s">
        <v>388</v>
      </c>
      <c r="Y58" s="110" t="s">
        <v>589</v>
      </c>
      <c r="Z58" s="110" t="s">
        <v>754</v>
      </c>
      <c r="AD58" s="110"/>
      <c r="AE58" s="110"/>
    </row>
    <row r="59" spans="6:31" x14ac:dyDescent="0.2">
      <c r="F59">
        <v>58</v>
      </c>
      <c r="G59">
        <v>4</v>
      </c>
      <c r="H59" s="273" t="s">
        <v>138</v>
      </c>
      <c r="I59" t="s">
        <v>55</v>
      </c>
      <c r="J59" t="s">
        <v>388</v>
      </c>
      <c r="L59">
        <v>58</v>
      </c>
      <c r="M59">
        <v>4</v>
      </c>
      <c r="N59" t="s">
        <v>245</v>
      </c>
      <c r="O59" t="s">
        <v>73</v>
      </c>
      <c r="P59" t="s">
        <v>388</v>
      </c>
      <c r="Y59" s="110" t="s">
        <v>588</v>
      </c>
      <c r="Z59" s="110" t="str">
        <f>X57&amp;$AA$4</f>
        <v>Ohio-Other RO</v>
      </c>
      <c r="AD59" s="110"/>
      <c r="AE59" s="110"/>
    </row>
    <row r="60" spans="6:31" x14ac:dyDescent="0.2">
      <c r="F60">
        <v>59</v>
      </c>
      <c r="G60">
        <v>4</v>
      </c>
      <c r="H60" s="273" t="s">
        <v>140</v>
      </c>
      <c r="I60" t="s">
        <v>57</v>
      </c>
      <c r="J60" t="s">
        <v>388</v>
      </c>
      <c r="L60">
        <v>59</v>
      </c>
      <c r="M60">
        <v>5</v>
      </c>
      <c r="N60" t="s">
        <v>359</v>
      </c>
      <c r="O60" t="s">
        <v>365</v>
      </c>
      <c r="P60" t="s">
        <v>359</v>
      </c>
      <c r="Y60" s="110" t="s">
        <v>590</v>
      </c>
      <c r="Z60" s="110" t="str">
        <f>X57&amp;$AA$5</f>
        <v>Ohio-NWQ</v>
      </c>
      <c r="AD60" s="110"/>
      <c r="AE60" s="110"/>
    </row>
    <row r="61" spans="6:31" x14ac:dyDescent="0.2">
      <c r="F61">
        <v>60</v>
      </c>
      <c r="G61">
        <v>4</v>
      </c>
      <c r="H61" s="273" t="s">
        <v>143</v>
      </c>
      <c r="I61" t="s">
        <v>59</v>
      </c>
      <c r="J61" t="s">
        <v>388</v>
      </c>
      <c r="L61">
        <v>60</v>
      </c>
      <c r="M61">
        <v>5</v>
      </c>
      <c r="N61" t="s">
        <v>359</v>
      </c>
      <c r="O61" s="110" t="s">
        <v>458</v>
      </c>
      <c r="P61" t="s">
        <v>359</v>
      </c>
      <c r="X61" t="s">
        <v>286</v>
      </c>
      <c r="Y61" s="110" t="s">
        <v>699</v>
      </c>
      <c r="Z61" s="110" t="str">
        <f>X61&amp;$AA$2</f>
        <v>Pennsylvania-Total</v>
      </c>
    </row>
    <row r="62" spans="6:31" x14ac:dyDescent="0.2">
      <c r="F62">
        <v>61</v>
      </c>
      <c r="G62">
        <v>4</v>
      </c>
      <c r="H62" s="273" t="s">
        <v>147</v>
      </c>
      <c r="I62" t="s">
        <v>61</v>
      </c>
      <c r="J62" t="s">
        <v>388</v>
      </c>
      <c r="Y62" s="110" t="s">
        <v>600</v>
      </c>
      <c r="Z62" s="110" t="s">
        <v>738</v>
      </c>
    </row>
    <row r="63" spans="6:31" x14ac:dyDescent="0.2">
      <c r="F63">
        <v>62</v>
      </c>
      <c r="G63">
        <v>4</v>
      </c>
      <c r="H63" s="273" t="s">
        <v>137</v>
      </c>
      <c r="I63" t="s">
        <v>63</v>
      </c>
      <c r="J63" t="s">
        <v>388</v>
      </c>
      <c r="Y63" s="110" t="s">
        <v>601</v>
      </c>
      <c r="Z63" s="110" t="s">
        <v>744</v>
      </c>
      <c r="AD63" s="110"/>
      <c r="AE63" s="110"/>
    </row>
    <row r="64" spans="6:31" x14ac:dyDescent="0.2">
      <c r="F64">
        <v>63</v>
      </c>
      <c r="G64">
        <v>4</v>
      </c>
      <c r="H64" s="273" t="s">
        <v>152</v>
      </c>
      <c r="I64" t="s">
        <v>64</v>
      </c>
      <c r="J64" t="s">
        <v>388</v>
      </c>
      <c r="Y64" s="110" t="s">
        <v>599</v>
      </c>
      <c r="Z64" s="110" t="str">
        <f>X61&amp;$AA$4</f>
        <v>Pennsylvania-Other RO</v>
      </c>
      <c r="AD64" s="110"/>
      <c r="AE64" s="110"/>
    </row>
    <row r="65" spans="6:31" x14ac:dyDescent="0.2">
      <c r="F65">
        <v>64</v>
      </c>
      <c r="G65">
        <v>4</v>
      </c>
      <c r="H65" s="273" t="s">
        <v>141</v>
      </c>
      <c r="I65" t="s">
        <v>66</v>
      </c>
      <c r="J65" t="s">
        <v>388</v>
      </c>
      <c r="Y65" s="110" t="s">
        <v>602</v>
      </c>
      <c r="Z65" s="110" t="str">
        <f>X61&amp;$AA$5</f>
        <v>Pennsylvania-NWQ</v>
      </c>
      <c r="AD65" s="110"/>
      <c r="AE65" s="110"/>
    </row>
    <row r="66" spans="6:31" x14ac:dyDescent="0.2">
      <c r="F66">
        <v>65</v>
      </c>
      <c r="G66">
        <v>5</v>
      </c>
      <c r="H66" t="s">
        <v>359</v>
      </c>
      <c r="I66" t="s">
        <v>365</v>
      </c>
      <c r="J66" t="s">
        <v>359</v>
      </c>
      <c r="X66" t="s">
        <v>283</v>
      </c>
      <c r="Y66" s="110" t="s">
        <v>702</v>
      </c>
      <c r="Z66" s="110" t="str">
        <f>X66&amp;$AA$2</f>
        <v>Rhode Island-Total</v>
      </c>
      <c r="AD66" s="110"/>
      <c r="AE66" s="110"/>
    </row>
    <row r="67" spans="6:31" x14ac:dyDescent="0.2">
      <c r="F67">
        <v>66</v>
      </c>
      <c r="G67">
        <v>5</v>
      </c>
      <c r="H67" t="s">
        <v>390</v>
      </c>
      <c r="I67" t="s">
        <v>391</v>
      </c>
      <c r="J67" t="s">
        <v>359</v>
      </c>
      <c r="Y67" s="110" t="s">
        <v>608</v>
      </c>
      <c r="Z67" s="110" t="s">
        <v>726</v>
      </c>
      <c r="AD67" s="110"/>
      <c r="AE67" s="110"/>
    </row>
    <row r="68" spans="6:31" x14ac:dyDescent="0.2">
      <c r="F68">
        <v>67</v>
      </c>
      <c r="G68">
        <v>5</v>
      </c>
      <c r="H68" t="s">
        <v>384</v>
      </c>
      <c r="I68" t="s">
        <v>6</v>
      </c>
      <c r="J68" t="s">
        <v>359</v>
      </c>
      <c r="Y68" s="110" t="s">
        <v>607</v>
      </c>
      <c r="Z68" s="110" t="str">
        <f>X66&amp;$AA$4</f>
        <v>Rhode Island-Other RO</v>
      </c>
      <c r="AD68" s="110"/>
      <c r="AE68" s="110"/>
    </row>
    <row r="69" spans="6:31" x14ac:dyDescent="0.2">
      <c r="Y69" s="110" t="s">
        <v>609</v>
      </c>
      <c r="Z69" s="110" t="str">
        <f>X66&amp;$AA$5</f>
        <v>Rhode Island-NWQ</v>
      </c>
      <c r="AD69" s="110"/>
      <c r="AE69" s="110"/>
    </row>
    <row r="70" spans="6:31" x14ac:dyDescent="0.2">
      <c r="X70" t="s">
        <v>323</v>
      </c>
      <c r="Y70" s="110" t="s">
        <v>709</v>
      </c>
      <c r="Z70" s="110" t="str">
        <f>X70&amp;$AA$2</f>
        <v>Vermont-Total</v>
      </c>
      <c r="AD70" s="110"/>
      <c r="AE70" s="110"/>
    </row>
    <row r="71" spans="6:31" x14ac:dyDescent="0.2">
      <c r="Y71" s="110" t="s">
        <v>630</v>
      </c>
      <c r="Z71" s="110" t="s">
        <v>739</v>
      </c>
    </row>
    <row r="72" spans="6:31" x14ac:dyDescent="0.2">
      <c r="Y72" s="110" t="s">
        <v>629</v>
      </c>
      <c r="Z72" s="110" t="str">
        <f>X70&amp;$AA$4</f>
        <v>Vermont-Other RO</v>
      </c>
    </row>
    <row r="73" spans="6:31" x14ac:dyDescent="0.2">
      <c r="Y73" s="110" t="s">
        <v>631</v>
      </c>
      <c r="Z73" s="110" t="str">
        <f>X70&amp;$AA$5</f>
        <v>Vermont-NWQ</v>
      </c>
    </row>
    <row r="74" spans="6:31" x14ac:dyDescent="0.2">
      <c r="X74" s="110" t="s">
        <v>304</v>
      </c>
      <c r="Y74" s="110" t="s">
        <v>711</v>
      </c>
      <c r="Z74" s="110" t="str">
        <f>X74&amp;$AA$2</f>
        <v>Wisconsin-Total</v>
      </c>
    </row>
    <row r="75" spans="6:31" x14ac:dyDescent="0.2">
      <c r="Y75" s="110" t="s">
        <v>636</v>
      </c>
      <c r="Z75" s="110" t="s">
        <v>752</v>
      </c>
    </row>
    <row r="76" spans="6:31" x14ac:dyDescent="0.2">
      <c r="Y76" s="110" t="s">
        <v>635</v>
      </c>
      <c r="Z76" s="110" t="str">
        <f>X74&amp;$AA$4</f>
        <v>Wisconsin-Other RO</v>
      </c>
    </row>
    <row r="77" spans="6:31" x14ac:dyDescent="0.2">
      <c r="Y77" s="110" t="s">
        <v>637</v>
      </c>
      <c r="Z77" s="110" t="str">
        <f>X74&amp;$AA$5</f>
        <v>Wisconsin-NWQ</v>
      </c>
    </row>
    <row r="78" spans="6:31" x14ac:dyDescent="0.2">
      <c r="X78" s="110" t="s">
        <v>337</v>
      </c>
      <c r="Z78" s="110" t="s">
        <v>350</v>
      </c>
    </row>
    <row r="79" spans="6:31" x14ac:dyDescent="0.2">
      <c r="X79" s="110" t="s">
        <v>297</v>
      </c>
      <c r="Y79" s="110" t="s">
        <v>664</v>
      </c>
      <c r="Z79" s="110" t="str">
        <f>X79&amp;$AA$2</f>
        <v>Alabama-Total</v>
      </c>
    </row>
    <row r="80" spans="6:31" x14ac:dyDescent="0.2">
      <c r="Y80" s="110" t="s">
        <v>485</v>
      </c>
      <c r="Z80" s="110" t="s">
        <v>745</v>
      </c>
    </row>
    <row r="81" spans="15:26" x14ac:dyDescent="0.2">
      <c r="X81" s="110" t="s">
        <v>350</v>
      </c>
      <c r="Y81" s="110" t="s">
        <v>484</v>
      </c>
      <c r="Z81" s="110" t="str">
        <f>X79&amp;$AA$4</f>
        <v>Alabama-Other RO</v>
      </c>
    </row>
    <row r="82" spans="15:26" x14ac:dyDescent="0.2">
      <c r="X82" s="110" t="s">
        <v>350</v>
      </c>
      <c r="Y82" s="110" t="s">
        <v>486</v>
      </c>
      <c r="Z82" s="110" t="str">
        <f>X79&amp;$AA$5</f>
        <v>Alabama-NWQ</v>
      </c>
    </row>
    <row r="83" spans="15:26" x14ac:dyDescent="0.2">
      <c r="X83" s="110" t="s">
        <v>317</v>
      </c>
      <c r="Y83" s="110" t="s">
        <v>665</v>
      </c>
      <c r="Z83" s="110" t="str">
        <f>X83&amp;$AA$2</f>
        <v>Arkansas-Total</v>
      </c>
    </row>
    <row r="84" spans="15:26" x14ac:dyDescent="0.2">
      <c r="Y84" s="110" t="s">
        <v>488</v>
      </c>
      <c r="Z84" s="110" t="s">
        <v>766</v>
      </c>
    </row>
    <row r="85" spans="15:26" x14ac:dyDescent="0.2">
      <c r="X85" s="110" t="s">
        <v>350</v>
      </c>
      <c r="Y85" s="110" t="s">
        <v>487</v>
      </c>
      <c r="Z85" s="110" t="str">
        <f>X83&amp;$AA$4</f>
        <v>Arkansas-Other RO</v>
      </c>
    </row>
    <row r="86" spans="15:26" x14ac:dyDescent="0.2">
      <c r="X86" s="110" t="s">
        <v>350</v>
      </c>
      <c r="Y86" s="110" t="s">
        <v>489</v>
      </c>
      <c r="Z86" s="110" t="str">
        <f>X83&amp;$AA$5</f>
        <v>Arkansas-NWQ</v>
      </c>
    </row>
    <row r="87" spans="15:26" x14ac:dyDescent="0.2">
      <c r="X87" s="110" t="s">
        <v>331</v>
      </c>
      <c r="Y87" s="110" t="s">
        <v>669</v>
      </c>
      <c r="Z87" s="110" t="str">
        <f>X87&amp;$AA$2</f>
        <v>Florida-Total</v>
      </c>
    </row>
    <row r="88" spans="15:26" x14ac:dyDescent="0.2">
      <c r="Y88" s="110" t="s">
        <v>510</v>
      </c>
      <c r="Z88" s="110" t="s">
        <v>746</v>
      </c>
    </row>
    <row r="89" spans="15:26" x14ac:dyDescent="0.2">
      <c r="X89" s="110" t="s">
        <v>350</v>
      </c>
      <c r="Y89" s="110" t="s">
        <v>509</v>
      </c>
      <c r="Z89" s="110" t="str">
        <f>X87&amp;$AA$4</f>
        <v>Florida-Other RO</v>
      </c>
    </row>
    <row r="90" spans="15:26" x14ac:dyDescent="0.2">
      <c r="X90" s="110" t="s">
        <v>350</v>
      </c>
      <c r="Y90" s="110" t="s">
        <v>511</v>
      </c>
      <c r="Z90" s="110" t="str">
        <f>X87&amp;$AA$5</f>
        <v>Florida-NWQ</v>
      </c>
    </row>
    <row r="91" spans="15:26" x14ac:dyDescent="0.2">
      <c r="X91" s="110" t="s">
        <v>291</v>
      </c>
      <c r="Y91" s="110" t="s">
        <v>670</v>
      </c>
      <c r="Z91" s="110" t="str">
        <f>X91&amp;$AA$2</f>
        <v>Georgia-Total</v>
      </c>
    </row>
    <row r="92" spans="15:26" x14ac:dyDescent="0.2">
      <c r="O92" s="110"/>
      <c r="X92" s="110" t="s">
        <v>350</v>
      </c>
      <c r="Y92" s="110" t="s">
        <v>513</v>
      </c>
      <c r="Z92" s="110" t="s">
        <v>747</v>
      </c>
    </row>
    <row r="93" spans="15:26" x14ac:dyDescent="0.2">
      <c r="X93" s="110" t="s">
        <v>350</v>
      </c>
      <c r="Y93" s="110" t="s">
        <v>512</v>
      </c>
      <c r="Z93" s="110" t="str">
        <f>X91&amp;$AA$4</f>
        <v>Georgia-Other RO</v>
      </c>
    </row>
    <row r="94" spans="15:26" x14ac:dyDescent="0.2">
      <c r="X94" s="110" t="s">
        <v>350</v>
      </c>
      <c r="Y94" s="110" t="s">
        <v>514</v>
      </c>
      <c r="Z94" s="110" t="str">
        <f>X91&amp;$AA$5</f>
        <v>Georgia-NWQ</v>
      </c>
    </row>
    <row r="95" spans="15:26" x14ac:dyDescent="0.2">
      <c r="X95" s="110" t="s">
        <v>301</v>
      </c>
      <c r="Y95" s="110" t="s">
        <v>677</v>
      </c>
      <c r="Z95" s="110" t="str">
        <f>X95&amp;$AA$2</f>
        <v>Kentucky-Total</v>
      </c>
    </row>
    <row r="96" spans="15:26" x14ac:dyDescent="0.2">
      <c r="Y96" s="110" t="s">
        <v>534</v>
      </c>
      <c r="Z96" s="110" t="s">
        <v>748</v>
      </c>
    </row>
    <row r="97" spans="24:26" x14ac:dyDescent="0.2">
      <c r="Y97" s="110" t="s">
        <v>533</v>
      </c>
      <c r="Z97" s="110" t="str">
        <f>X95&amp;$AA$4</f>
        <v>Kentucky-Other RO</v>
      </c>
    </row>
    <row r="98" spans="24:26" x14ac:dyDescent="0.2">
      <c r="Y98" s="110" t="s">
        <v>535</v>
      </c>
      <c r="Z98" s="110" t="str">
        <f>X95&amp;$AA$5</f>
        <v>Kentucky-NWQ</v>
      </c>
    </row>
    <row r="99" spans="24:26" x14ac:dyDescent="0.2">
      <c r="X99" s="110" t="s">
        <v>296</v>
      </c>
      <c r="Y99" s="110" t="s">
        <v>678</v>
      </c>
      <c r="Z99" s="110" t="str">
        <f>X99&amp;$AA$2</f>
        <v>Louisiana-Total</v>
      </c>
    </row>
    <row r="100" spans="24:26" x14ac:dyDescent="0.2">
      <c r="X100" s="110" t="s">
        <v>350</v>
      </c>
      <c r="Y100" s="110" t="s">
        <v>537</v>
      </c>
      <c r="Z100" s="110" t="s">
        <v>767</v>
      </c>
    </row>
    <row r="101" spans="24:26" x14ac:dyDescent="0.2">
      <c r="X101" s="110" t="s">
        <v>350</v>
      </c>
      <c r="Y101" s="110" t="s">
        <v>536</v>
      </c>
      <c r="Z101" s="110" t="str">
        <f>X99&amp;$AA$4</f>
        <v>Louisiana-Other RO</v>
      </c>
    </row>
    <row r="102" spans="24:26" x14ac:dyDescent="0.2">
      <c r="X102" s="110" t="s">
        <v>350</v>
      </c>
      <c r="Y102" s="110" t="s">
        <v>538</v>
      </c>
      <c r="Z102" s="110" t="str">
        <f>X99&amp;$AA$5</f>
        <v>Louisiana-NWQ</v>
      </c>
    </row>
    <row r="103" spans="24:26" x14ac:dyDescent="0.2">
      <c r="X103" s="110" t="s">
        <v>298</v>
      </c>
      <c r="Y103" s="110" t="s">
        <v>685</v>
      </c>
      <c r="Z103" s="110" t="str">
        <f>X103&amp;$AA$2</f>
        <v>Mississippi-Total</v>
      </c>
    </row>
    <row r="104" spans="24:26" x14ac:dyDescent="0.2">
      <c r="Y104" s="110" t="s">
        <v>558</v>
      </c>
      <c r="Z104" s="110" t="s">
        <v>768</v>
      </c>
    </row>
    <row r="105" spans="24:26" x14ac:dyDescent="0.2">
      <c r="Y105" s="110" t="s">
        <v>557</v>
      </c>
      <c r="Z105" s="110" t="str">
        <f>X103&amp;$AA$4</f>
        <v>Mississippi-Other RO</v>
      </c>
    </row>
    <row r="106" spans="24:26" x14ac:dyDescent="0.2">
      <c r="Y106" s="110" t="s">
        <v>559</v>
      </c>
      <c r="Z106" s="110" t="str">
        <f>X103&amp;$AA$5</f>
        <v>Mississippi-NWQ</v>
      </c>
    </row>
    <row r="107" spans="24:26" x14ac:dyDescent="0.2">
      <c r="X107" t="s">
        <v>292</v>
      </c>
      <c r="Y107" s="110" t="s">
        <v>687</v>
      </c>
      <c r="Z107" s="110" t="str">
        <f>X107&amp;$AA$2</f>
        <v>North Carolina-Total</v>
      </c>
    </row>
    <row r="108" spans="24:26" x14ac:dyDescent="0.2">
      <c r="Y108" s="110" t="s">
        <v>564</v>
      </c>
      <c r="Z108" s="110" t="s">
        <v>737</v>
      </c>
    </row>
    <row r="109" spans="24:26" x14ac:dyDescent="0.2">
      <c r="Y109" s="110" t="s">
        <v>563</v>
      </c>
      <c r="Z109" s="110" t="str">
        <f>X107&amp;$AA$4</f>
        <v>North Carolina-Other RO</v>
      </c>
    </row>
    <row r="110" spans="24:26" x14ac:dyDescent="0.2">
      <c r="Y110" s="110" t="s">
        <v>565</v>
      </c>
      <c r="Z110" s="110" t="str">
        <f>X107&amp;$AA$5</f>
        <v>North Carolina-NWQ</v>
      </c>
    </row>
    <row r="111" spans="24:26" x14ac:dyDescent="0.2">
      <c r="X111" s="110" t="s">
        <v>333</v>
      </c>
      <c r="Y111" s="110" t="s">
        <v>701</v>
      </c>
      <c r="Z111" s="110" t="str">
        <f>X111&amp;$AA$2</f>
        <v>Puerto Rico-Total</v>
      </c>
    </row>
    <row r="112" spans="24:26" x14ac:dyDescent="0.2">
      <c r="Y112" s="110" t="s">
        <v>605</v>
      </c>
      <c r="Z112" s="110" t="s">
        <v>749</v>
      </c>
    </row>
    <row r="113" spans="24:26" x14ac:dyDescent="0.2">
      <c r="Y113" s="110" t="s">
        <v>604</v>
      </c>
      <c r="Z113" s="110" t="str">
        <f>X111&amp;$AA$4</f>
        <v>Puerto Rico-Other RO</v>
      </c>
    </row>
    <row r="114" spans="24:26" x14ac:dyDescent="0.2">
      <c r="Y114" s="110" t="s">
        <v>606</v>
      </c>
      <c r="Z114" s="110" t="str">
        <f>X111&amp;$AA$5</f>
        <v>Puerto Rico-NWQ</v>
      </c>
    </row>
    <row r="115" spans="24:26" x14ac:dyDescent="0.2">
      <c r="X115" s="110" t="s">
        <v>293</v>
      </c>
      <c r="Y115" s="110" t="s">
        <v>703</v>
      </c>
      <c r="Z115" s="110" t="str">
        <f>X115&amp;$AA$2</f>
        <v>South Carolina-Total</v>
      </c>
    </row>
    <row r="116" spans="24:26" x14ac:dyDescent="0.2">
      <c r="Y116" s="110" t="s">
        <v>611</v>
      </c>
      <c r="Z116" s="110" t="s">
        <v>750</v>
      </c>
    </row>
    <row r="117" spans="24:26" x14ac:dyDescent="0.2">
      <c r="Y117" s="110" t="s">
        <v>610</v>
      </c>
      <c r="Z117" s="110" t="str">
        <f>X115&amp;$AA$4</f>
        <v>South Carolina-Other RO</v>
      </c>
    </row>
    <row r="118" spans="24:26" x14ac:dyDescent="0.2">
      <c r="Y118" s="110" t="s">
        <v>612</v>
      </c>
      <c r="Z118" s="110" t="str">
        <f>X115&amp;$AA$5</f>
        <v>South Carolina-NWQ</v>
      </c>
    </row>
    <row r="119" spans="24:26" x14ac:dyDescent="0.2">
      <c r="X119" s="110" t="s">
        <v>294</v>
      </c>
      <c r="Y119" s="110" t="s">
        <v>705</v>
      </c>
      <c r="Z119" s="110" t="str">
        <f>X119&amp;$AA$2</f>
        <v>Tennessee-Total</v>
      </c>
    </row>
    <row r="120" spans="24:26" x14ac:dyDescent="0.2">
      <c r="Y120" s="110" t="s">
        <v>617</v>
      </c>
      <c r="Z120" s="110" t="s">
        <v>751</v>
      </c>
    </row>
    <row r="121" spans="24:26" x14ac:dyDescent="0.2">
      <c r="Y121" s="110" t="s">
        <v>616</v>
      </c>
      <c r="Z121" s="110" t="str">
        <f>X119&amp;$AA$4</f>
        <v>Tennessee-Other RO</v>
      </c>
    </row>
    <row r="122" spans="24:26" x14ac:dyDescent="0.2">
      <c r="Y122" s="110" t="s">
        <v>618</v>
      </c>
      <c r="Z122" s="110" t="str">
        <f>X119&amp;$AA$5</f>
        <v>Tennessee-NWQ</v>
      </c>
    </row>
    <row r="123" spans="24:26" x14ac:dyDescent="0.2">
      <c r="X123" t="s">
        <v>288</v>
      </c>
      <c r="Y123" s="110" t="s">
        <v>708</v>
      </c>
      <c r="Z123" s="110" t="str">
        <f>X123&amp;$AA$2</f>
        <v>Virginia-Total</v>
      </c>
    </row>
    <row r="124" spans="24:26" x14ac:dyDescent="0.2">
      <c r="Y124" s="110" t="s">
        <v>627</v>
      </c>
      <c r="Z124" s="110" t="s">
        <v>740</v>
      </c>
    </row>
    <row r="125" spans="24:26" x14ac:dyDescent="0.2">
      <c r="Y125" s="110" t="s">
        <v>626</v>
      </c>
      <c r="Z125" s="110" t="str">
        <f>X123&amp;$AA$4</f>
        <v>Virginia-Other RO</v>
      </c>
    </row>
    <row r="126" spans="24:26" x14ac:dyDescent="0.2">
      <c r="Y126" s="110" t="s">
        <v>628</v>
      </c>
      <c r="Z126" s="110" t="str">
        <f>X123&amp;$AA$5</f>
        <v>Virginia-NWQ</v>
      </c>
    </row>
    <row r="127" spans="24:26" x14ac:dyDescent="0.2">
      <c r="X127" t="s">
        <v>289</v>
      </c>
      <c r="Y127" s="110" t="s">
        <v>712</v>
      </c>
      <c r="Z127" s="110" t="str">
        <f>X127&amp;$AA$2</f>
        <v>West Virginia-Total</v>
      </c>
    </row>
    <row r="128" spans="24:26" x14ac:dyDescent="0.2">
      <c r="Y128" s="110" t="s">
        <v>639</v>
      </c>
      <c r="Z128" s="110" t="s">
        <v>741</v>
      </c>
    </row>
    <row r="129" spans="24:26" x14ac:dyDescent="0.2">
      <c r="Y129" s="110" t="s">
        <v>638</v>
      </c>
      <c r="Z129" s="110" t="str">
        <f>X127&amp;$AA$4</f>
        <v>West Virginia-Other RO</v>
      </c>
    </row>
    <row r="130" spans="24:26" x14ac:dyDescent="0.2">
      <c r="Y130" s="110" t="s">
        <v>640</v>
      </c>
      <c r="Z130" s="110" t="str">
        <f>X127&amp;$AA$5</f>
        <v>West Virginia-NWQ</v>
      </c>
    </row>
    <row r="131" spans="24:26" x14ac:dyDescent="0.2">
      <c r="X131" s="110" t="s">
        <v>335</v>
      </c>
      <c r="Z131" s="110" t="s">
        <v>350</v>
      </c>
    </row>
    <row r="132" spans="24:26" x14ac:dyDescent="0.2">
      <c r="X132" s="110" t="s">
        <v>309</v>
      </c>
      <c r="Y132" s="110" t="s">
        <v>668</v>
      </c>
      <c r="Z132" s="110" t="str">
        <f>X132&amp;$AA$2</f>
        <v>Colorado-Total</v>
      </c>
    </row>
    <row r="133" spans="24:26" x14ac:dyDescent="0.2">
      <c r="Y133" s="110" t="s">
        <v>499</v>
      </c>
      <c r="Z133" s="110" t="s">
        <v>765</v>
      </c>
    </row>
    <row r="134" spans="24:26" x14ac:dyDescent="0.2">
      <c r="X134" s="110" t="s">
        <v>350</v>
      </c>
      <c r="Y134" s="110" t="s">
        <v>498</v>
      </c>
      <c r="Z134" s="110" t="str">
        <f>X132&amp;$AA$4</f>
        <v>Colorado-Other RO</v>
      </c>
    </row>
    <row r="135" spans="24:26" x14ac:dyDescent="0.2">
      <c r="X135" s="110" t="s">
        <v>350</v>
      </c>
      <c r="Y135" s="110" t="s">
        <v>500</v>
      </c>
      <c r="Z135" s="110" t="str">
        <f>X132&amp;$AA$5</f>
        <v>Colorado-NWQ</v>
      </c>
    </row>
    <row r="136" spans="24:26" x14ac:dyDescent="0.2">
      <c r="X136" s="110" t="s">
        <v>306</v>
      </c>
      <c r="Y136" s="110" t="s">
        <v>672</v>
      </c>
      <c r="Z136" s="110" t="str">
        <f>X136&amp;$AA$2</f>
        <v>Iowa-Total</v>
      </c>
    </row>
    <row r="137" spans="24:26" x14ac:dyDescent="0.2">
      <c r="X137" s="110" t="s">
        <v>350</v>
      </c>
      <c r="Y137" s="110" t="s">
        <v>519</v>
      </c>
      <c r="Z137" s="110" t="s">
        <v>761</v>
      </c>
    </row>
    <row r="138" spans="24:26" x14ac:dyDescent="0.2">
      <c r="X138" s="110" t="s">
        <v>350</v>
      </c>
      <c r="Y138" s="110" t="s">
        <v>518</v>
      </c>
      <c r="Z138" s="110" t="str">
        <f>X136&amp;$AA$4</f>
        <v>Iowa-Other RO</v>
      </c>
    </row>
    <row r="139" spans="24:26" x14ac:dyDescent="0.2">
      <c r="X139" s="110" t="s">
        <v>350</v>
      </c>
      <c r="Y139" s="110" t="s">
        <v>520</v>
      </c>
      <c r="Z139" s="110" t="str">
        <f>X136&amp;$AA$5</f>
        <v>Iowa-NWQ</v>
      </c>
    </row>
    <row r="140" spans="24:26" x14ac:dyDescent="0.2">
      <c r="X140" s="110" t="s">
        <v>328</v>
      </c>
      <c r="Y140" s="110" t="s">
        <v>676</v>
      </c>
      <c r="Z140" s="110" t="str">
        <f>X140&amp;$AA$2</f>
        <v>Kansas-Total</v>
      </c>
    </row>
    <row r="141" spans="24:26" x14ac:dyDescent="0.2">
      <c r="Y141" s="110" t="s">
        <v>531</v>
      </c>
      <c r="Z141" s="110" t="s">
        <v>760</v>
      </c>
    </row>
    <row r="142" spans="24:26" x14ac:dyDescent="0.2">
      <c r="Y142" s="110" t="s">
        <v>530</v>
      </c>
      <c r="Z142" s="110" t="str">
        <f>X140&amp;$AA$4</f>
        <v>Kansas-Other RO</v>
      </c>
    </row>
    <row r="143" spans="24:26" x14ac:dyDescent="0.2">
      <c r="Y143" s="110" t="s">
        <v>532</v>
      </c>
      <c r="Z143" s="110" t="str">
        <f>X140&amp;$AA$5</f>
        <v>Kansas-NWQ</v>
      </c>
    </row>
    <row r="144" spans="24:26" x14ac:dyDescent="0.2">
      <c r="X144" s="110" t="s">
        <v>308</v>
      </c>
      <c r="Y144" s="110" t="s">
        <v>683</v>
      </c>
      <c r="Z144" s="110" t="str">
        <f>X144&amp;$AA$2</f>
        <v>Minnesota-Total</v>
      </c>
    </row>
    <row r="145" spans="24:26" x14ac:dyDescent="0.2">
      <c r="Y145" s="110" t="s">
        <v>552</v>
      </c>
      <c r="Z145" s="110" t="s">
        <v>758</v>
      </c>
    </row>
    <row r="146" spans="24:26" x14ac:dyDescent="0.2">
      <c r="Y146" s="110" t="s">
        <v>551</v>
      </c>
      <c r="Z146" s="110" t="str">
        <f>X144&amp;$AA$4</f>
        <v>Minnesota-Other RO</v>
      </c>
    </row>
    <row r="147" spans="24:26" x14ac:dyDescent="0.2">
      <c r="Y147" s="110" t="s">
        <v>553</v>
      </c>
      <c r="Z147" s="110" t="str">
        <f>X144&amp;$AA$5</f>
        <v>Minnesota-NWQ</v>
      </c>
    </row>
    <row r="148" spans="24:26" x14ac:dyDescent="0.2">
      <c r="X148" s="110" t="s">
        <v>324</v>
      </c>
      <c r="Y148" s="110" t="s">
        <v>686</v>
      </c>
      <c r="Z148" s="110" t="str">
        <f>X148&amp;$AA$2</f>
        <v>Montana-Total</v>
      </c>
    </row>
    <row r="149" spans="24:26" x14ac:dyDescent="0.2">
      <c r="Y149" s="110" t="s">
        <v>561</v>
      </c>
      <c r="Z149" s="110" t="s">
        <v>769</v>
      </c>
    </row>
    <row r="150" spans="24:26" x14ac:dyDescent="0.2">
      <c r="Y150" s="110" t="s">
        <v>560</v>
      </c>
      <c r="Z150" s="110" t="str">
        <f>X148&amp;$AA$4</f>
        <v>Montana-Other RO</v>
      </c>
    </row>
    <row r="151" spans="24:26" x14ac:dyDescent="0.2">
      <c r="Y151" s="110" t="s">
        <v>562</v>
      </c>
      <c r="Z151" s="110" t="str">
        <f>X148&amp;$AA$5</f>
        <v>Montana-NWQ</v>
      </c>
    </row>
    <row r="152" spans="24:26" x14ac:dyDescent="0.2">
      <c r="X152" s="110" t="s">
        <v>307</v>
      </c>
      <c r="Y152" s="110" t="s">
        <v>689</v>
      </c>
      <c r="Z152" s="110" t="str">
        <f>X152&amp;$AA$2</f>
        <v>Nebraska-Total</v>
      </c>
    </row>
    <row r="153" spans="24:26" x14ac:dyDescent="0.2">
      <c r="Y153" s="110" t="s">
        <v>570</v>
      </c>
      <c r="Z153" s="110" t="s">
        <v>756</v>
      </c>
    </row>
    <row r="154" spans="24:26" x14ac:dyDescent="0.2">
      <c r="Y154" s="110" t="s">
        <v>569</v>
      </c>
      <c r="Z154" s="110" t="str">
        <f>X152&amp;$AA$4</f>
        <v>Nebraska-Other RO</v>
      </c>
    </row>
    <row r="155" spans="24:26" x14ac:dyDescent="0.2">
      <c r="Y155" s="110" t="s">
        <v>571</v>
      </c>
      <c r="Z155" s="110" t="str">
        <f>X152&amp;$AA$5</f>
        <v>Nebraska-NWQ</v>
      </c>
    </row>
    <row r="156" spans="24:26" x14ac:dyDescent="0.2">
      <c r="X156" s="110" t="s">
        <v>325</v>
      </c>
      <c r="Y156" s="110" t="s">
        <v>688</v>
      </c>
      <c r="Z156" s="110" t="str">
        <f>X156&amp;$AA$2</f>
        <v>North Dakota-Total</v>
      </c>
    </row>
    <row r="157" spans="24:26" x14ac:dyDescent="0.2">
      <c r="Y157" s="110" t="s">
        <v>567</v>
      </c>
      <c r="Z157" s="110" t="s">
        <v>755</v>
      </c>
    </row>
    <row r="158" spans="24:26" x14ac:dyDescent="0.2">
      <c r="Y158" s="110" t="s">
        <v>566</v>
      </c>
      <c r="Z158" s="110" t="str">
        <f>X156&amp;$AA$4</f>
        <v>North Dakota-Other RO</v>
      </c>
    </row>
    <row r="159" spans="24:26" x14ac:dyDescent="0.2">
      <c r="Y159" s="110" t="s">
        <v>568</v>
      </c>
      <c r="Z159" s="110" t="str">
        <f>X156&amp;$AA$5</f>
        <v>North Dakota-NWQ</v>
      </c>
    </row>
    <row r="160" spans="24:26" x14ac:dyDescent="0.2">
      <c r="X160" s="110" t="s">
        <v>318</v>
      </c>
      <c r="Y160" s="110" t="s">
        <v>696</v>
      </c>
      <c r="Z160" s="110" t="str">
        <f>X160&amp;$AA$2</f>
        <v>Oklahoma-Total</v>
      </c>
    </row>
    <row r="161" spans="24:26" x14ac:dyDescent="0.2">
      <c r="Y161" s="110" t="s">
        <v>592</v>
      </c>
      <c r="Z161" s="110" t="s">
        <v>770</v>
      </c>
    </row>
    <row r="162" spans="24:26" x14ac:dyDescent="0.2">
      <c r="Y162" s="110" t="s">
        <v>591</v>
      </c>
      <c r="Z162" s="110" t="str">
        <f>X160&amp;$AA$4</f>
        <v>Oklahoma-Other RO</v>
      </c>
    </row>
    <row r="163" spans="24:26" x14ac:dyDescent="0.2">
      <c r="Y163" s="110" t="s">
        <v>593</v>
      </c>
      <c r="Z163" s="110" t="str">
        <f>X160&amp;$AA$5</f>
        <v>Oklahoma-NWQ</v>
      </c>
    </row>
    <row r="164" spans="24:26" x14ac:dyDescent="0.2">
      <c r="X164" s="110" t="s">
        <v>326</v>
      </c>
      <c r="Y164" s="110" t="s">
        <v>704</v>
      </c>
      <c r="Z164" s="110" t="str">
        <f>X164&amp;$AA$2</f>
        <v>South Dakota-Total</v>
      </c>
    </row>
    <row r="165" spans="24:26" x14ac:dyDescent="0.2">
      <c r="Y165" s="110" t="s">
        <v>614</v>
      </c>
      <c r="Z165" s="110" t="s">
        <v>753</v>
      </c>
    </row>
    <row r="166" spans="24:26" x14ac:dyDescent="0.2">
      <c r="Y166" s="110" t="s">
        <v>613</v>
      </c>
      <c r="Z166" s="110" t="str">
        <f>X164&amp;$AA$4</f>
        <v>South Dakota-Other RO</v>
      </c>
    </row>
    <row r="167" spans="24:26" x14ac:dyDescent="0.2">
      <c r="Y167" s="110" t="s">
        <v>615</v>
      </c>
      <c r="Z167" s="110" t="str">
        <f>X164&amp;$AA$5</f>
        <v>South Dakota-NWQ</v>
      </c>
    </row>
    <row r="168" spans="24:26" x14ac:dyDescent="0.2">
      <c r="X168" s="110" t="s">
        <v>316</v>
      </c>
      <c r="Y168" s="110" t="s">
        <v>706</v>
      </c>
      <c r="Z168" s="110" t="str">
        <f>X168&amp;$AA$2</f>
        <v>Texas-Total</v>
      </c>
    </row>
    <row r="169" spans="24:26" x14ac:dyDescent="0.2">
      <c r="X169" s="110"/>
      <c r="Y169" s="110" t="s">
        <v>621</v>
      </c>
      <c r="Z169" s="110" t="s">
        <v>772</v>
      </c>
    </row>
    <row r="170" spans="24:26" x14ac:dyDescent="0.2">
      <c r="Y170" s="110" t="s">
        <v>620</v>
      </c>
      <c r="Z170" s="110" t="s">
        <v>773</v>
      </c>
    </row>
    <row r="171" spans="24:26" x14ac:dyDescent="0.2">
      <c r="Y171" s="110" t="s">
        <v>619</v>
      </c>
      <c r="Z171" s="110" t="str">
        <f>X168&amp;$AA$4</f>
        <v>Texas-Other RO</v>
      </c>
    </row>
    <row r="172" spans="24:26" x14ac:dyDescent="0.2">
      <c r="Y172" s="110" t="s">
        <v>622</v>
      </c>
      <c r="Z172" s="110" t="str">
        <f>X168&amp;$AA$5</f>
        <v>Texas-NWQ</v>
      </c>
    </row>
    <row r="173" spans="24:26" x14ac:dyDescent="0.2">
      <c r="X173" s="110" t="s">
        <v>327</v>
      </c>
      <c r="Y173" s="110" t="s">
        <v>713</v>
      </c>
      <c r="Z173" s="110" t="str">
        <f>X173&amp;$AA$2</f>
        <v>Wyoming-Total</v>
      </c>
    </row>
    <row r="174" spans="24:26" x14ac:dyDescent="0.2">
      <c r="Y174" s="110" t="s">
        <v>642</v>
      </c>
      <c r="Z174" s="110" t="s">
        <v>764</v>
      </c>
    </row>
    <row r="175" spans="24:26" x14ac:dyDescent="0.2">
      <c r="Y175" s="110" t="s">
        <v>641</v>
      </c>
      <c r="Z175" s="110" t="str">
        <f>X173&amp;$AA$4</f>
        <v>Wyoming-Other RO</v>
      </c>
    </row>
    <row r="176" spans="24:26" x14ac:dyDescent="0.2">
      <c r="Y176" s="110" t="s">
        <v>643</v>
      </c>
      <c r="Z176" s="110" t="str">
        <f>X173&amp;$AA$5</f>
        <v>Wyoming-NWQ</v>
      </c>
    </row>
    <row r="177" spans="24:26" x14ac:dyDescent="0.2">
      <c r="X177" s="110" t="s">
        <v>336</v>
      </c>
      <c r="Z177" s="110" t="s">
        <v>350</v>
      </c>
    </row>
    <row r="178" spans="24:26" x14ac:dyDescent="0.2">
      <c r="X178" s="110" t="s">
        <v>330</v>
      </c>
      <c r="Y178" s="110" t="s">
        <v>663</v>
      </c>
      <c r="Z178" s="110" t="str">
        <f>X178&amp;$AA$2</f>
        <v>Alaska-Total</v>
      </c>
    </row>
    <row r="179" spans="24:26" x14ac:dyDescent="0.2">
      <c r="Y179" s="110" t="s">
        <v>482</v>
      </c>
      <c r="Z179" s="110" t="s">
        <v>775</v>
      </c>
    </row>
    <row r="180" spans="24:26" x14ac:dyDescent="0.2">
      <c r="X180" s="110" t="s">
        <v>350</v>
      </c>
      <c r="Y180" s="110" t="s">
        <v>481</v>
      </c>
      <c r="Z180" s="110" t="str">
        <f>X178&amp;$AA$4</f>
        <v>Alaska-Other RO</v>
      </c>
    </row>
    <row r="181" spans="24:26" x14ac:dyDescent="0.2">
      <c r="X181" s="110" t="s">
        <v>350</v>
      </c>
      <c r="Y181" s="110" t="s">
        <v>483</v>
      </c>
      <c r="Z181" s="110" t="str">
        <f>X178&amp;$AA$5</f>
        <v>Alaska-NWQ</v>
      </c>
    </row>
    <row r="182" spans="24:26" x14ac:dyDescent="0.2">
      <c r="X182" s="110" t="s">
        <v>332</v>
      </c>
      <c r="Y182" s="110" t="s">
        <v>666</v>
      </c>
      <c r="Z182" s="110" t="str">
        <f>X182&amp;$AA$2</f>
        <v>Arizona-Total</v>
      </c>
    </row>
    <row r="183" spans="24:26" x14ac:dyDescent="0.2">
      <c r="Y183" s="110" t="s">
        <v>491</v>
      </c>
      <c r="Z183" s="110" t="s">
        <v>776</v>
      </c>
    </row>
    <row r="184" spans="24:26" x14ac:dyDescent="0.2">
      <c r="X184" s="110" t="s">
        <v>350</v>
      </c>
      <c r="Y184" s="110" t="s">
        <v>490</v>
      </c>
      <c r="Z184" s="110" t="str">
        <f>X182&amp;$AA$4</f>
        <v>Arizona-Other RO</v>
      </c>
    </row>
    <row r="185" spans="24:26" x14ac:dyDescent="0.2">
      <c r="X185" s="110" t="s">
        <v>350</v>
      </c>
      <c r="Y185" s="110" t="s">
        <v>492</v>
      </c>
      <c r="Z185" s="110" t="str">
        <f>X182&amp;$AA$5</f>
        <v>Arizona-NWQ</v>
      </c>
    </row>
    <row r="186" spans="24:26" x14ac:dyDescent="0.2">
      <c r="X186" s="110" t="s">
        <v>313</v>
      </c>
      <c r="Y186" s="110" t="s">
        <v>667</v>
      </c>
      <c r="Z186" s="110" t="str">
        <f>X186&amp;$AA$2</f>
        <v>California-Total</v>
      </c>
    </row>
    <row r="187" spans="24:26" x14ac:dyDescent="0.2">
      <c r="X187" s="110"/>
      <c r="Y187" s="110" t="s">
        <v>495</v>
      </c>
      <c r="Z187" s="110" t="s">
        <v>777</v>
      </c>
    </row>
    <row r="188" spans="24:26" x14ac:dyDescent="0.2">
      <c r="X188" s="110"/>
      <c r="Y188" s="110" t="s">
        <v>494</v>
      </c>
      <c r="Z188" s="110" t="s">
        <v>778</v>
      </c>
    </row>
    <row r="189" spans="24:26" x14ac:dyDescent="0.2">
      <c r="X189" s="110" t="s">
        <v>350</v>
      </c>
      <c r="Y189" s="110" t="s">
        <v>496</v>
      </c>
      <c r="Z189" s="110" t="s">
        <v>779</v>
      </c>
    </row>
    <row r="190" spans="24:26" x14ac:dyDescent="0.2">
      <c r="X190" s="110" t="s">
        <v>350</v>
      </c>
      <c r="Y190" s="110" t="s">
        <v>493</v>
      </c>
      <c r="Z190" s="110" t="str">
        <f>X186&amp;$AA$4</f>
        <v>California-Other RO</v>
      </c>
    </row>
    <row r="191" spans="24:26" x14ac:dyDescent="0.2">
      <c r="X191" s="110" t="s">
        <v>350</v>
      </c>
      <c r="Y191" s="110" t="s">
        <v>497</v>
      </c>
      <c r="Z191" s="110" t="str">
        <f>X186&amp;$AA$5</f>
        <v>California-NWQ</v>
      </c>
    </row>
    <row r="192" spans="24:26" x14ac:dyDescent="0.2">
      <c r="X192" s="110" t="s">
        <v>334</v>
      </c>
      <c r="Y192" s="110" t="s">
        <v>671</v>
      </c>
      <c r="Z192" s="110" t="str">
        <f>X192&amp;$AA$2</f>
        <v>Hawaii-Total</v>
      </c>
    </row>
    <row r="193" spans="24:26" x14ac:dyDescent="0.2">
      <c r="Y193" s="110" t="s">
        <v>516</v>
      </c>
      <c r="Z193" s="110" t="s">
        <v>780</v>
      </c>
    </row>
    <row r="194" spans="24:26" x14ac:dyDescent="0.2">
      <c r="Y194" s="110" t="s">
        <v>515</v>
      </c>
      <c r="Z194" s="110" t="str">
        <f>X192&amp;$AA$4</f>
        <v>Hawaii-Other RO</v>
      </c>
    </row>
    <row r="195" spans="24:26" x14ac:dyDescent="0.2">
      <c r="Y195" s="110" t="s">
        <v>517</v>
      </c>
      <c r="Z195" s="110" t="str">
        <f>X192&amp;$AA$5</f>
        <v>Hawaii-NWQ</v>
      </c>
    </row>
    <row r="196" spans="24:26" x14ac:dyDescent="0.2">
      <c r="X196" s="110" t="s">
        <v>314</v>
      </c>
      <c r="Y196" s="110" t="s">
        <v>673</v>
      </c>
      <c r="Z196" s="110" t="str">
        <f>X196&amp;$AA$2</f>
        <v>Idaho-Total</v>
      </c>
    </row>
    <row r="197" spans="24:26" x14ac:dyDescent="0.2">
      <c r="Y197" s="110" t="s">
        <v>522</v>
      </c>
      <c r="Z197" s="110" t="s">
        <v>781</v>
      </c>
    </row>
    <row r="198" spans="24:26" x14ac:dyDescent="0.2">
      <c r="Y198" s="110" t="s">
        <v>521</v>
      </c>
      <c r="Z198" s="110" t="str">
        <f>X196&amp;$AA$4</f>
        <v>Idaho-Other RO</v>
      </c>
    </row>
    <row r="199" spans="24:26" x14ac:dyDescent="0.2">
      <c r="Y199" s="110" t="s">
        <v>523</v>
      </c>
      <c r="Z199" s="110" t="str">
        <f>X196&amp;$AA$5</f>
        <v>Idaho-NWQ</v>
      </c>
    </row>
    <row r="200" spans="24:26" x14ac:dyDescent="0.2">
      <c r="X200" s="110" t="s">
        <v>319</v>
      </c>
      <c r="Y200" s="110" t="s">
        <v>693</v>
      </c>
      <c r="Z200" s="110" t="str">
        <f>X200&amp;$AA$2</f>
        <v>Nevada-Total</v>
      </c>
    </row>
    <row r="201" spans="24:26" x14ac:dyDescent="0.2">
      <c r="Y201" s="110" t="s">
        <v>582</v>
      </c>
      <c r="Z201" s="110" t="s">
        <v>782</v>
      </c>
    </row>
    <row r="202" spans="24:26" x14ac:dyDescent="0.2">
      <c r="Y202" s="110" t="s">
        <v>581</v>
      </c>
      <c r="Z202" s="110" t="str">
        <f>X200&amp;$AA$4</f>
        <v>Nevada-Other RO</v>
      </c>
    </row>
    <row r="203" spans="24:26" x14ac:dyDescent="0.2">
      <c r="Y203" s="110" t="s">
        <v>583</v>
      </c>
      <c r="Z203" s="110" t="str">
        <f>X200&amp;$AA$5</f>
        <v>Nevada-NWQ</v>
      </c>
    </row>
    <row r="204" spans="24:26" x14ac:dyDescent="0.2">
      <c r="X204" s="110" t="s">
        <v>311</v>
      </c>
      <c r="Y204" s="110" t="s">
        <v>692</v>
      </c>
      <c r="Z204" s="110" t="str">
        <f>X204&amp;$AA$2</f>
        <v>New Mexico-Total</v>
      </c>
    </row>
    <row r="205" spans="24:26" x14ac:dyDescent="0.2">
      <c r="X205" s="110"/>
      <c r="Y205" s="110" t="s">
        <v>579</v>
      </c>
      <c r="Z205" s="110" t="s">
        <v>783</v>
      </c>
    </row>
    <row r="206" spans="24:26" x14ac:dyDescent="0.2">
      <c r="Y206" s="110" t="s">
        <v>578</v>
      </c>
      <c r="Z206" s="110" t="str">
        <f>X204&amp;$AA$4</f>
        <v>New Mexico-Other RO</v>
      </c>
    </row>
    <row r="207" spans="24:26" x14ac:dyDescent="0.2">
      <c r="Y207" s="110" t="s">
        <v>580</v>
      </c>
      <c r="Z207" s="110" t="str">
        <f>X204&amp;$AA$5</f>
        <v>New Mexico-NWQ</v>
      </c>
    </row>
    <row r="208" spans="24:26" x14ac:dyDescent="0.2">
      <c r="X208" s="110" t="s">
        <v>315</v>
      </c>
      <c r="Y208" s="110" t="s">
        <v>697</v>
      </c>
      <c r="Z208" s="110" t="str">
        <f>X208&amp;$AA$2</f>
        <v>Oregon-Total</v>
      </c>
    </row>
    <row r="209" spans="24:26" x14ac:dyDescent="0.2">
      <c r="Y209" s="110" t="s">
        <v>595</v>
      </c>
      <c r="Z209" s="110" t="s">
        <v>784</v>
      </c>
    </row>
    <row r="210" spans="24:26" x14ac:dyDescent="0.2">
      <c r="Y210" s="110" t="s">
        <v>594</v>
      </c>
      <c r="Z210" s="110" t="str">
        <f>X208&amp;$AA$4</f>
        <v>Oregon-Other RO</v>
      </c>
    </row>
    <row r="211" spans="24:26" x14ac:dyDescent="0.2">
      <c r="Y211" s="110" t="s">
        <v>596</v>
      </c>
      <c r="Z211" s="110" t="str">
        <f>X208&amp;$AA$5</f>
        <v>Oregon-NWQ</v>
      </c>
    </row>
    <row r="212" spans="24:26" x14ac:dyDescent="0.2">
      <c r="X212" s="110" t="s">
        <v>357</v>
      </c>
      <c r="Y212" s="110" t="s">
        <v>700</v>
      </c>
      <c r="Z212" s="110" t="str">
        <f>X212&amp;$AA$2</f>
        <v>Philippines-Total</v>
      </c>
    </row>
    <row r="213" spans="24:26" x14ac:dyDescent="0.2">
      <c r="Y213" s="110" t="s">
        <v>787</v>
      </c>
      <c r="Z213" s="110" t="s">
        <v>785</v>
      </c>
    </row>
    <row r="214" spans="24:26" x14ac:dyDescent="0.2">
      <c r="Y214" s="110" t="s">
        <v>774</v>
      </c>
      <c r="Z214" s="110" t="str">
        <f>X212&amp;$AA$4</f>
        <v>Philippines-Other RO</v>
      </c>
    </row>
    <row r="215" spans="24:26" x14ac:dyDescent="0.2">
      <c r="Y215" s="110" t="s">
        <v>603</v>
      </c>
      <c r="Z215" s="110" t="str">
        <f>X212&amp;$AA$5</f>
        <v>Philippines-NWQ</v>
      </c>
    </row>
    <row r="216" spans="24:26" x14ac:dyDescent="0.2">
      <c r="X216" s="110" t="s">
        <v>312</v>
      </c>
      <c r="Y216" s="110" t="s">
        <v>707</v>
      </c>
      <c r="Z216" s="110" t="str">
        <f>X216&amp;$AA$2</f>
        <v>Utah-Total</v>
      </c>
    </row>
    <row r="217" spans="24:26" x14ac:dyDescent="0.2">
      <c r="Y217" s="110" t="s">
        <v>624</v>
      </c>
      <c r="Z217" s="110" t="s">
        <v>771</v>
      </c>
    </row>
    <row r="218" spans="24:26" x14ac:dyDescent="0.2">
      <c r="Y218" s="110" t="s">
        <v>623</v>
      </c>
      <c r="Z218" s="110" t="str">
        <f>X216&amp;$AA$4</f>
        <v>Utah-Other RO</v>
      </c>
    </row>
    <row r="219" spans="24:26" x14ac:dyDescent="0.2">
      <c r="Y219" s="110" t="s">
        <v>625</v>
      </c>
      <c r="Z219" s="110" t="str">
        <f>X216&amp;$AA$5</f>
        <v>Utah-NWQ</v>
      </c>
    </row>
    <row r="220" spans="24:26" x14ac:dyDescent="0.2">
      <c r="X220" s="110" t="s">
        <v>73</v>
      </c>
      <c r="Y220" s="110" t="s">
        <v>710</v>
      </c>
      <c r="Z220" s="110" t="str">
        <f>X220&amp;$AA$2</f>
        <v>Washington-Total</v>
      </c>
    </row>
    <row r="221" spans="24:26" x14ac:dyDescent="0.2">
      <c r="Y221" s="110" t="s">
        <v>633</v>
      </c>
      <c r="Z221" s="110" t="s">
        <v>786</v>
      </c>
    </row>
    <row r="222" spans="24:26" x14ac:dyDescent="0.2">
      <c r="Y222" s="110" t="s">
        <v>632</v>
      </c>
      <c r="Z222" s="110" t="str">
        <f>X220&amp;$AA$4</f>
        <v>Washington-Other RO</v>
      </c>
    </row>
    <row r="223" spans="24:26" x14ac:dyDescent="0.2">
      <c r="Y223" s="110" t="s">
        <v>634</v>
      </c>
      <c r="Z223" s="110" t="str">
        <f>X220&amp;$AA$5</f>
        <v>Washington-NWQ</v>
      </c>
    </row>
    <row r="224" spans="24:26" x14ac:dyDescent="0.2">
      <c r="X224" s="110" t="s">
        <v>365</v>
      </c>
      <c r="Z224" s="110" t="s">
        <v>350</v>
      </c>
    </row>
    <row r="225" spans="24:26" x14ac:dyDescent="0.2">
      <c r="X225" s="110" t="s">
        <v>458</v>
      </c>
      <c r="Y225" s="110" t="s">
        <v>597</v>
      </c>
      <c r="Z225" s="110" t="str">
        <f>X225&amp;$AA$4</f>
        <v>Outside US-Other RO</v>
      </c>
    </row>
    <row r="226" spans="24:26" x14ac:dyDescent="0.2">
      <c r="X226" s="110" t="s">
        <v>350</v>
      </c>
      <c r="Y226" s="110" t="s">
        <v>598</v>
      </c>
      <c r="Z226" s="110" t="str">
        <f>X225&amp;$AA$5</f>
        <v>Outside US-NWQ</v>
      </c>
    </row>
    <row r="227" spans="24:26" x14ac:dyDescent="0.2">
      <c r="Y227" s="110"/>
      <c r="Z227" s="110"/>
    </row>
    <row r="228" spans="24:26" x14ac:dyDescent="0.2">
      <c r="Y228" s="110"/>
      <c r="Z228" s="110"/>
    </row>
    <row r="229" spans="24:26" x14ac:dyDescent="0.2">
      <c r="Y229" s="110"/>
      <c r="Z229" s="110"/>
    </row>
    <row r="230" spans="24:26" x14ac:dyDescent="0.2">
      <c r="X230" s="110"/>
      <c r="Y230" s="110"/>
      <c r="Z230" s="110"/>
    </row>
    <row r="231" spans="24:26" x14ac:dyDescent="0.2">
      <c r="X231" s="110"/>
      <c r="Y231" s="110"/>
      <c r="Z231" s="110"/>
    </row>
    <row r="232" spans="24:26" x14ac:dyDescent="0.2">
      <c r="X232" s="110"/>
      <c r="Y232" s="110"/>
      <c r="Z232" s="110"/>
    </row>
    <row r="233" spans="24:26" x14ac:dyDescent="0.2">
      <c r="X233" s="110"/>
      <c r="Y233" s="110"/>
      <c r="Z233" s="110"/>
    </row>
    <row r="234" spans="24:26" x14ac:dyDescent="0.2">
      <c r="Y234" s="110"/>
      <c r="Z234" s="110"/>
    </row>
    <row r="235" spans="24:26" x14ac:dyDescent="0.2">
      <c r="Y235" s="110"/>
      <c r="Z235" s="110"/>
    </row>
    <row r="236" spans="24:26" x14ac:dyDescent="0.2">
      <c r="Y236" s="110"/>
      <c r="Z236" s="110"/>
    </row>
    <row r="237" spans="24:26" x14ac:dyDescent="0.2">
      <c r="X237" s="110"/>
      <c r="Y237" s="110"/>
      <c r="Z237" s="110"/>
    </row>
    <row r="238" spans="24:26" x14ac:dyDescent="0.2">
      <c r="Y238" s="110"/>
      <c r="Z238" s="110"/>
    </row>
    <row r="239" spans="24:26" x14ac:dyDescent="0.2">
      <c r="Y239" s="110"/>
      <c r="Z239" s="110"/>
    </row>
    <row r="240" spans="24:26" x14ac:dyDescent="0.2">
      <c r="Y240" s="110"/>
      <c r="Z240" s="110"/>
    </row>
    <row r="241" spans="24:26" x14ac:dyDescent="0.2">
      <c r="X241" s="110"/>
      <c r="Y241" s="110"/>
      <c r="Z241" s="110"/>
    </row>
    <row r="242" spans="24:26" x14ac:dyDescent="0.2">
      <c r="Y242" s="110"/>
      <c r="Z242" s="110"/>
    </row>
    <row r="243" spans="24:26" x14ac:dyDescent="0.2">
      <c r="Y243" s="110"/>
      <c r="Z243" s="110"/>
    </row>
    <row r="244" spans="24:26" x14ac:dyDescent="0.2">
      <c r="Y244" s="110"/>
      <c r="Z244" s="110"/>
    </row>
    <row r="245" spans="24:26" x14ac:dyDescent="0.2">
      <c r="X245" s="110"/>
      <c r="Y245" s="110"/>
      <c r="Z245" s="110"/>
    </row>
    <row r="246" spans="24:26" x14ac:dyDescent="0.2">
      <c r="X246" s="110"/>
      <c r="Y246" s="110"/>
      <c r="Z246" s="110"/>
    </row>
    <row r="247" spans="24:26" x14ac:dyDescent="0.2">
      <c r="Y247" s="110"/>
      <c r="Z247" s="110"/>
    </row>
    <row r="248" spans="24:26" x14ac:dyDescent="0.2">
      <c r="Y248" s="110"/>
      <c r="Z248" s="110"/>
    </row>
    <row r="249" spans="24:26" x14ac:dyDescent="0.2">
      <c r="X249" s="110"/>
      <c r="Y249" s="110"/>
      <c r="Z249" s="110"/>
    </row>
    <row r="250" spans="24:26" x14ac:dyDescent="0.2">
      <c r="Y250" s="110"/>
      <c r="Z250" s="110"/>
    </row>
    <row r="251" spans="24:26" x14ac:dyDescent="0.2">
      <c r="Y251" s="110"/>
      <c r="Z251" s="110"/>
    </row>
    <row r="252" spans="24:26" x14ac:dyDescent="0.2">
      <c r="Y252" s="110"/>
      <c r="Z252" s="110"/>
    </row>
    <row r="253" spans="24:26" x14ac:dyDescent="0.2">
      <c r="X253" s="110"/>
      <c r="Y253" s="110"/>
      <c r="Z253" s="110"/>
    </row>
    <row r="254" spans="24:26" x14ac:dyDescent="0.2">
      <c r="Y254" s="110"/>
      <c r="Z254" s="110"/>
    </row>
    <row r="255" spans="24:26" x14ac:dyDescent="0.2">
      <c r="Y255" s="110"/>
      <c r="Z255" s="110"/>
    </row>
    <row r="256" spans="24:26" x14ac:dyDescent="0.2">
      <c r="Y256" s="110"/>
      <c r="Z256" s="110"/>
    </row>
    <row r="257" spans="24:26" x14ac:dyDescent="0.2">
      <c r="X257" s="110"/>
      <c r="Y257" s="110"/>
      <c r="Z257" s="110"/>
    </row>
    <row r="258" spans="24:26" x14ac:dyDescent="0.2">
      <c r="Y258" s="110"/>
      <c r="Z258" s="110"/>
    </row>
    <row r="259" spans="24:26" x14ac:dyDescent="0.2">
      <c r="Y259" s="110"/>
      <c r="Z259" s="110"/>
    </row>
    <row r="260" spans="24:26" x14ac:dyDescent="0.2">
      <c r="Y260" s="110"/>
      <c r="Z260" s="110"/>
    </row>
    <row r="261" spans="24:26" x14ac:dyDescent="0.2">
      <c r="X261" s="110"/>
      <c r="Z261" s="110"/>
    </row>
    <row r="262" spans="24:26" x14ac:dyDescent="0.2">
      <c r="X262" s="110"/>
      <c r="Y262" s="110"/>
      <c r="Z262" s="110"/>
    </row>
    <row r="263" spans="24:26" x14ac:dyDescent="0.2">
      <c r="X263" s="110"/>
      <c r="Y263" s="110"/>
      <c r="Z263" s="110"/>
    </row>
    <row r="264" spans="24:26" x14ac:dyDescent="0.2">
      <c r="X264" s="110"/>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5"/>
  <dimension ref="A1:A142"/>
  <sheetViews>
    <sheetView workbookViewId="0">
      <selection activeCell="A2" sqref="A2"/>
    </sheetView>
  </sheetViews>
  <sheetFormatPr defaultRowHeight="14.1" customHeight="1" x14ac:dyDescent="0.2"/>
  <cols>
    <col min="1" max="1" width="9.28515625" customWidth="1"/>
    <col min="2" max="2" width="4.85546875" bestFit="1" customWidth="1"/>
    <col min="3" max="3" width="19" bestFit="1" customWidth="1"/>
    <col min="4" max="4" width="8.140625" bestFit="1" customWidth="1"/>
    <col min="5" max="5" width="14.85546875" customWidth="1"/>
    <col min="6" max="6" width="14.42578125" customWidth="1"/>
    <col min="7" max="7" width="17" customWidth="1"/>
    <col min="8" max="8" width="14.7109375" customWidth="1"/>
  </cols>
  <sheetData>
    <row r="1" spans="1:1" ht="12.75" x14ac:dyDescent="0.2">
      <c r="A1" s="123" t="s">
        <v>854</v>
      </c>
    </row>
    <row r="2" spans="1:1" ht="12.75" x14ac:dyDescent="0.2">
      <c r="A2" s="123">
        <v>43540</v>
      </c>
    </row>
    <row r="3" spans="1:1" ht="12.75" x14ac:dyDescent="0.2"/>
    <row r="4" spans="1:1" ht="12.75" x14ac:dyDescent="0.2"/>
    <row r="5" spans="1:1" ht="12.75" x14ac:dyDescent="0.2"/>
    <row r="6" spans="1:1" ht="12.75" x14ac:dyDescent="0.2"/>
    <row r="7" spans="1:1" ht="12.75" x14ac:dyDescent="0.2"/>
    <row r="8" spans="1:1" ht="12.75" x14ac:dyDescent="0.2"/>
    <row r="9" spans="1:1" ht="12.75" x14ac:dyDescent="0.2"/>
    <row r="10" spans="1:1" ht="12.75" x14ac:dyDescent="0.2"/>
    <row r="11" spans="1:1" ht="12.75" x14ac:dyDescent="0.2"/>
    <row r="12" spans="1:1" ht="12.75" x14ac:dyDescent="0.2"/>
    <row r="13" spans="1:1" ht="12.75" x14ac:dyDescent="0.2"/>
    <row r="14" spans="1:1" ht="12.75" x14ac:dyDescent="0.2"/>
    <row r="15" spans="1:1" ht="12.75" x14ac:dyDescent="0.2"/>
    <row r="16" spans="1:1" ht="12.75" x14ac:dyDescent="0.2"/>
    <row r="17" ht="12.75" x14ac:dyDescent="0.2"/>
    <row r="18" ht="12.75" x14ac:dyDescent="0.2"/>
    <row r="19" ht="12.75" x14ac:dyDescent="0.2"/>
    <row r="20" ht="12.75" x14ac:dyDescent="0.2"/>
    <row r="21" ht="12.75" x14ac:dyDescent="0.2"/>
    <row r="22" ht="12.75" x14ac:dyDescent="0.2"/>
    <row r="23" ht="12.75" x14ac:dyDescent="0.2"/>
    <row r="24" ht="12.75" x14ac:dyDescent="0.2"/>
    <row r="25" ht="12.75" x14ac:dyDescent="0.2"/>
    <row r="26" ht="12.75" x14ac:dyDescent="0.2"/>
    <row r="27" ht="12.75" x14ac:dyDescent="0.2"/>
    <row r="28" ht="12.75" x14ac:dyDescent="0.2"/>
    <row r="29" ht="12.75" x14ac:dyDescent="0.2"/>
    <row r="30" ht="12.75" x14ac:dyDescent="0.2"/>
    <row r="31" ht="12.75" x14ac:dyDescent="0.2"/>
    <row r="32" ht="12.75" x14ac:dyDescent="0.2"/>
    <row r="33" ht="12.75" x14ac:dyDescent="0.2"/>
    <row r="34" ht="12.75" x14ac:dyDescent="0.2"/>
    <row r="35" ht="12.75" x14ac:dyDescent="0.2"/>
    <row r="36" ht="12.75" x14ac:dyDescent="0.2"/>
    <row r="37" ht="12.75" x14ac:dyDescent="0.2"/>
    <row r="38" ht="12.75" x14ac:dyDescent="0.2"/>
    <row r="39" ht="12.75" x14ac:dyDescent="0.2"/>
    <row r="40" ht="12.75" x14ac:dyDescent="0.2"/>
    <row r="41" ht="12.75" x14ac:dyDescent="0.2"/>
    <row r="42" ht="12.75" x14ac:dyDescent="0.2"/>
    <row r="43" ht="12.75" x14ac:dyDescent="0.2"/>
    <row r="44" ht="12.75" x14ac:dyDescent="0.2"/>
    <row r="45" ht="12.75" x14ac:dyDescent="0.2"/>
    <row r="46" ht="12.75" x14ac:dyDescent="0.2"/>
    <row r="47" ht="12.75" x14ac:dyDescent="0.2"/>
    <row r="48" ht="12.75" x14ac:dyDescent="0.2"/>
    <row r="49" ht="12.75" x14ac:dyDescent="0.2"/>
    <row r="50" ht="12.75" x14ac:dyDescent="0.2"/>
    <row r="51" ht="12.75" x14ac:dyDescent="0.2"/>
    <row r="52" ht="12.75" x14ac:dyDescent="0.2"/>
    <row r="53" ht="12.75" x14ac:dyDescent="0.2"/>
    <row r="54" ht="12.75" x14ac:dyDescent="0.2"/>
    <row r="55" ht="12.75" x14ac:dyDescent="0.2"/>
    <row r="56" ht="12.75" x14ac:dyDescent="0.2"/>
    <row r="57" ht="12.75" x14ac:dyDescent="0.2"/>
    <row r="58" ht="12.75" x14ac:dyDescent="0.2"/>
    <row r="59" ht="12.75" x14ac:dyDescent="0.2"/>
    <row r="60" ht="12.75" x14ac:dyDescent="0.2"/>
    <row r="61" ht="12.75" x14ac:dyDescent="0.2"/>
    <row r="62" ht="12.75" x14ac:dyDescent="0.2"/>
    <row r="63" ht="12.75" x14ac:dyDescent="0.2"/>
    <row r="64" ht="12.75" x14ac:dyDescent="0.2"/>
    <row r="65" ht="12.75" x14ac:dyDescent="0.2"/>
    <row r="66" ht="12.75" x14ac:dyDescent="0.2"/>
    <row r="67" ht="12.75" x14ac:dyDescent="0.2"/>
    <row r="68" ht="12.75" x14ac:dyDescent="0.2"/>
    <row r="69" ht="12.75" x14ac:dyDescent="0.2"/>
    <row r="70" ht="12.75" x14ac:dyDescent="0.2"/>
    <row r="71" ht="12.75" x14ac:dyDescent="0.2"/>
    <row r="72" ht="12.75" x14ac:dyDescent="0.2"/>
    <row r="73" ht="12.75" x14ac:dyDescent="0.2"/>
    <row r="74" ht="12.75" x14ac:dyDescent="0.2"/>
    <row r="75" ht="12.75" x14ac:dyDescent="0.2"/>
    <row r="76" ht="12.75" x14ac:dyDescent="0.2"/>
    <row r="77" ht="12.75" x14ac:dyDescent="0.2"/>
    <row r="78" ht="12.75" x14ac:dyDescent="0.2"/>
    <row r="79" ht="12.75" x14ac:dyDescent="0.2"/>
    <row r="80" ht="12.75" x14ac:dyDescent="0.2"/>
    <row r="81" ht="12.75" x14ac:dyDescent="0.2"/>
    <row r="82" ht="12.75" x14ac:dyDescent="0.2"/>
    <row r="83" ht="12.75" x14ac:dyDescent="0.2"/>
    <row r="84" ht="12.75" x14ac:dyDescent="0.2"/>
    <row r="85" ht="12.75" x14ac:dyDescent="0.2"/>
    <row r="86" ht="12.75" x14ac:dyDescent="0.2"/>
    <row r="87" ht="12.75" x14ac:dyDescent="0.2"/>
    <row r="88" ht="12.75" x14ac:dyDescent="0.2"/>
    <row r="89" ht="12.75" x14ac:dyDescent="0.2"/>
    <row r="90" ht="12.75" x14ac:dyDescent="0.2"/>
    <row r="91" ht="12.75" x14ac:dyDescent="0.2"/>
    <row r="92" ht="12.75" x14ac:dyDescent="0.2"/>
    <row r="93" ht="12.75" x14ac:dyDescent="0.2"/>
    <row r="94" ht="12.75" x14ac:dyDescent="0.2"/>
    <row r="95" ht="12.75" x14ac:dyDescent="0.2"/>
    <row r="96" ht="12.75" x14ac:dyDescent="0.2"/>
    <row r="97" ht="12.75" x14ac:dyDescent="0.2"/>
    <row r="98" ht="12.75" x14ac:dyDescent="0.2"/>
    <row r="99" ht="12.75" x14ac:dyDescent="0.2"/>
    <row r="100" ht="12.75" x14ac:dyDescent="0.2"/>
    <row r="101" ht="12.75" x14ac:dyDescent="0.2"/>
    <row r="102" ht="12.75" x14ac:dyDescent="0.2"/>
    <row r="103" ht="12.75" x14ac:dyDescent="0.2"/>
    <row r="104" ht="12.75" x14ac:dyDescent="0.2"/>
    <row r="105" ht="12.75" x14ac:dyDescent="0.2"/>
    <row r="106" ht="12.75" x14ac:dyDescent="0.2"/>
    <row r="107" ht="12.75" x14ac:dyDescent="0.2"/>
    <row r="108" ht="12.75" x14ac:dyDescent="0.2"/>
    <row r="109" ht="12.75" x14ac:dyDescent="0.2"/>
    <row r="110" ht="12.75" x14ac:dyDescent="0.2"/>
    <row r="111" ht="12.75" x14ac:dyDescent="0.2"/>
    <row r="112" ht="12.75" x14ac:dyDescent="0.2"/>
    <row r="113" ht="12.75" x14ac:dyDescent="0.2"/>
    <row r="114" ht="12.75" x14ac:dyDescent="0.2"/>
    <row r="115" ht="12.75" x14ac:dyDescent="0.2"/>
    <row r="116" ht="12.75" x14ac:dyDescent="0.2"/>
    <row r="117" ht="12.75" x14ac:dyDescent="0.2"/>
    <row r="118" ht="12.75" x14ac:dyDescent="0.2"/>
    <row r="119" ht="12.75" x14ac:dyDescent="0.2"/>
    <row r="120" ht="12.75" x14ac:dyDescent="0.2"/>
    <row r="121" ht="12.75" x14ac:dyDescent="0.2"/>
    <row r="122" ht="12.75" x14ac:dyDescent="0.2"/>
    <row r="123" ht="12.75" x14ac:dyDescent="0.2"/>
    <row r="124" ht="12.75" x14ac:dyDescent="0.2"/>
    <row r="125" ht="12.75" x14ac:dyDescent="0.2"/>
    <row r="126" ht="12.75" x14ac:dyDescent="0.2"/>
    <row r="127" ht="12.75" x14ac:dyDescent="0.2"/>
    <row r="128" ht="12.75" x14ac:dyDescent="0.2"/>
    <row r="129" ht="12.75" x14ac:dyDescent="0.2"/>
    <row r="130" ht="12.75" x14ac:dyDescent="0.2"/>
    <row r="131" ht="12.75" x14ac:dyDescent="0.2"/>
    <row r="132" ht="12.75" x14ac:dyDescent="0.2"/>
    <row r="133" ht="12.75" x14ac:dyDescent="0.2"/>
    <row r="134" ht="12.75" x14ac:dyDescent="0.2"/>
    <row r="135" ht="12.75" x14ac:dyDescent="0.2"/>
    <row r="136" ht="12.75" x14ac:dyDescent="0.2"/>
    <row r="137" ht="12.75" x14ac:dyDescent="0.2"/>
    <row r="138" ht="12.75" x14ac:dyDescent="0.2"/>
    <row r="139" ht="12.75" x14ac:dyDescent="0.2"/>
    <row r="140" ht="12.75" x14ac:dyDescent="0.2"/>
    <row r="141" ht="12.75" x14ac:dyDescent="0.2"/>
    <row r="142" ht="12.75" x14ac:dyDescent="0.2"/>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V83"/>
  <sheetViews>
    <sheetView showGridLines="0" tabSelected="1" zoomScaleNormal="100" zoomScaleSheetLayoutView="75" workbookViewId="0">
      <selection activeCell="D4" sqref="D4"/>
    </sheetView>
  </sheetViews>
  <sheetFormatPr defaultColWidth="0" defaultRowHeight="12.75" zeroHeight="1" x14ac:dyDescent="0.2"/>
  <cols>
    <col min="1" max="1" width="2.7109375" style="3" customWidth="1"/>
    <col min="2" max="5" width="11.7109375" style="3" customWidth="1"/>
    <col min="6" max="6" width="20.140625" style="3" customWidth="1"/>
    <col min="7" max="10" width="15.7109375" style="3" customWidth="1"/>
    <col min="11" max="11" width="2.85546875" style="3" customWidth="1"/>
    <col min="12" max="12" width="14.85546875" style="3" hidden="1" customWidth="1"/>
    <col min="13" max="22" width="0" style="3" hidden="1" customWidth="1"/>
    <col min="23" max="16384" width="9.140625" style="3" hidden="1"/>
  </cols>
  <sheetData>
    <row r="1" spans="1:11" ht="15" customHeight="1" x14ac:dyDescent="0.2">
      <c r="A1" s="25"/>
      <c r="B1" s="26" t="s">
        <v>350</v>
      </c>
      <c r="C1" s="26"/>
      <c r="D1" s="26"/>
      <c r="E1" s="26"/>
      <c r="F1" s="26"/>
      <c r="G1" s="27"/>
      <c r="H1" s="28"/>
      <c r="I1" s="28"/>
      <c r="J1" s="28"/>
      <c r="K1" s="29"/>
    </row>
    <row r="2" spans="1:11" ht="15" customHeight="1" x14ac:dyDescent="0.2">
      <c r="A2" s="25"/>
      <c r="B2" s="293" t="s">
        <v>804</v>
      </c>
      <c r="C2" s="294"/>
      <c r="D2" s="294"/>
      <c r="E2" s="294"/>
      <c r="F2" s="294"/>
      <c r="G2" s="169"/>
      <c r="H2" s="181"/>
      <c r="I2" s="181"/>
      <c r="J2" s="181"/>
      <c r="K2" s="29"/>
    </row>
    <row r="3" spans="1:11" ht="15" customHeight="1" x14ac:dyDescent="0.2">
      <c r="A3" s="25"/>
      <c r="B3" s="299" t="s">
        <v>807</v>
      </c>
      <c r="C3" s="300"/>
      <c r="D3" s="300"/>
      <c r="E3" s="300"/>
      <c r="F3" s="300"/>
      <c r="G3" s="177"/>
      <c r="H3" s="295" t="s">
        <v>3</v>
      </c>
      <c r="I3" s="295" t="s">
        <v>814</v>
      </c>
      <c r="J3" s="295" t="s">
        <v>788</v>
      </c>
      <c r="K3" s="29"/>
    </row>
    <row r="4" spans="1:11" ht="15" customHeight="1" x14ac:dyDescent="0.2">
      <c r="A4" s="25"/>
      <c r="B4" s="178" t="str">
        <f>"Reporting through "&amp;TEXT(D_DT[],"MMMM DD, YYYY")</f>
        <v>Reporting through March 16, 2019</v>
      </c>
      <c r="C4" s="179"/>
      <c r="D4" s="179"/>
      <c r="E4" s="179"/>
      <c r="F4" s="179"/>
      <c r="G4" s="179"/>
      <c r="H4" s="296"/>
      <c r="I4" s="296"/>
      <c r="J4" s="296"/>
      <c r="K4" s="29"/>
    </row>
    <row r="5" spans="1:11" ht="15" customHeight="1" x14ac:dyDescent="0.2">
      <c r="A5" s="25"/>
      <c r="B5" s="298" t="s">
        <v>805</v>
      </c>
      <c r="C5" s="298"/>
      <c r="D5" s="298"/>
      <c r="E5" s="298"/>
      <c r="F5" s="298"/>
      <c r="G5" s="184" t="s">
        <v>187</v>
      </c>
      <c r="H5" s="185">
        <f>SUM(H6,H11)</f>
        <v>365584</v>
      </c>
      <c r="I5" s="185">
        <f>SUM(I6,I11)</f>
        <v>81966</v>
      </c>
      <c r="J5" s="186">
        <f t="shared" ref="J5" si="0">IF(H5=0, 0,I5/H5)</f>
        <v>0.22420565451442076</v>
      </c>
      <c r="K5" s="29"/>
    </row>
    <row r="6" spans="1:11" s="144" customFormat="1" ht="15" customHeight="1" x14ac:dyDescent="0.2">
      <c r="A6" s="145"/>
      <c r="B6" s="290" t="s">
        <v>181</v>
      </c>
      <c r="C6" s="290"/>
      <c r="D6" s="290"/>
      <c r="E6" s="290"/>
      <c r="F6" s="290"/>
      <c r="G6" s="188" t="s">
        <v>187</v>
      </c>
      <c r="H6" s="189">
        <f>SUM(H7:H10)</f>
        <v>121460</v>
      </c>
      <c r="I6" s="189">
        <f>SUM(I7:I10)</f>
        <v>38248</v>
      </c>
      <c r="J6" s="190">
        <f t="shared" ref="J6:J16" si="1">IF(H6=0, 0,I6/H6)</f>
        <v>0.3149020253581426</v>
      </c>
      <c r="K6" s="29"/>
    </row>
    <row r="7" spans="1:11" s="144" customFormat="1" ht="15" customHeight="1" x14ac:dyDescent="0.2">
      <c r="A7" s="146" t="s">
        <v>18</v>
      </c>
      <c r="B7" s="287" t="s">
        <v>844</v>
      </c>
      <c r="C7" s="287"/>
      <c r="D7" s="287"/>
      <c r="E7" s="287"/>
      <c r="F7" s="287"/>
      <c r="G7" s="274" t="s">
        <v>161</v>
      </c>
      <c r="H7" s="182">
        <f>IFERROR(SUMIFS(D_D[INV],D_D[MT],3,D_D[EP],$A7),0)</f>
        <v>31739</v>
      </c>
      <c r="I7" s="182">
        <f>IFERROR(SUMIFS(D_D[BL],D_D[MT],3,D_D[EP],$A7),0)</f>
        <v>12197</v>
      </c>
      <c r="J7" s="187">
        <f t="shared" si="1"/>
        <v>0.38429062037241252</v>
      </c>
      <c r="K7" s="29"/>
    </row>
    <row r="8" spans="1:11" s="144" customFormat="1" ht="15" customHeight="1" x14ac:dyDescent="0.2">
      <c r="A8" s="146" t="s">
        <v>77</v>
      </c>
      <c r="B8" s="287" t="s">
        <v>802</v>
      </c>
      <c r="C8" s="287"/>
      <c r="D8" s="287"/>
      <c r="E8" s="287"/>
      <c r="F8" s="287"/>
      <c r="G8" s="275" t="s">
        <v>162</v>
      </c>
      <c r="H8" s="182">
        <f>IFERROR(SUMIFS(D_D[INV],D_D[MT],3,D_D[EP],$A8),0)</f>
        <v>70600</v>
      </c>
      <c r="I8" s="182">
        <f>IFERROR(SUMIFS(D_D[BL],D_D[MT],3,D_D[EP],$A8),0)</f>
        <v>21131</v>
      </c>
      <c r="J8" s="187">
        <f t="shared" si="1"/>
        <v>0.29930594900849861</v>
      </c>
      <c r="K8" s="29"/>
    </row>
    <row r="9" spans="1:11" s="144" customFormat="1" ht="15" customHeight="1" x14ac:dyDescent="0.2">
      <c r="A9" s="146" t="s">
        <v>92</v>
      </c>
      <c r="B9" s="288" t="s">
        <v>182</v>
      </c>
      <c r="C9" s="288"/>
      <c r="D9" s="288"/>
      <c r="E9" s="288"/>
      <c r="F9" s="288"/>
      <c r="G9" s="276" t="s">
        <v>164</v>
      </c>
      <c r="H9" s="182">
        <f>IFERROR(SUMIFS(D_D[INV],D_D[MT],3,D_D[EP],$A9),0)</f>
        <v>6856</v>
      </c>
      <c r="I9" s="182">
        <f>IFERROR(SUMIFS(D_D[BL],D_D[MT],3,D_D[EP],$A9),0)</f>
        <v>1583</v>
      </c>
      <c r="J9" s="187">
        <f t="shared" si="1"/>
        <v>0.23089264877479579</v>
      </c>
      <c r="K9" s="29"/>
    </row>
    <row r="10" spans="1:11" s="144" customFormat="1" ht="15" customHeight="1" x14ac:dyDescent="0.2">
      <c r="A10" s="146" t="s">
        <v>79</v>
      </c>
      <c r="B10" s="288" t="s">
        <v>14</v>
      </c>
      <c r="C10" s="288"/>
      <c r="D10" s="288"/>
      <c r="E10" s="288"/>
      <c r="F10" s="288"/>
      <c r="G10" s="275" t="s">
        <v>166</v>
      </c>
      <c r="H10" s="182">
        <f>IFERROR(SUMIFS(D_D[INV],D_D[MT],3,D_D[EP],$A10),0)</f>
        <v>12265</v>
      </c>
      <c r="I10" s="182">
        <f>IFERROR(SUMIFS(D_D[BL],D_D[MT],3,D_D[EP],$A10),0)</f>
        <v>3337</v>
      </c>
      <c r="J10" s="187">
        <f t="shared" si="1"/>
        <v>0.27207501019160213</v>
      </c>
      <c r="K10" s="29"/>
    </row>
    <row r="11" spans="1:11" s="144" customFormat="1" ht="15" customHeight="1" x14ac:dyDescent="0.2">
      <c r="A11" s="146"/>
      <c r="B11" s="290" t="s">
        <v>0</v>
      </c>
      <c r="C11" s="290"/>
      <c r="D11" s="290"/>
      <c r="E11" s="290"/>
      <c r="F11" s="290"/>
      <c r="G11" s="277" t="s">
        <v>187</v>
      </c>
      <c r="H11" s="189">
        <f>SUM(H12:H19)</f>
        <v>244124</v>
      </c>
      <c r="I11" s="189">
        <f>SUM(I12:I19)</f>
        <v>43718</v>
      </c>
      <c r="J11" s="190">
        <f t="shared" si="1"/>
        <v>0.17908112270813192</v>
      </c>
      <c r="K11" s="29"/>
    </row>
    <row r="12" spans="1:11" s="144" customFormat="1" ht="15" customHeight="1" x14ac:dyDescent="0.2">
      <c r="A12" s="146" t="s">
        <v>91</v>
      </c>
      <c r="B12" s="287" t="s">
        <v>170</v>
      </c>
      <c r="C12" s="287"/>
      <c r="D12" s="287"/>
      <c r="E12" s="287"/>
      <c r="F12" s="287"/>
      <c r="G12" s="276" t="s">
        <v>165</v>
      </c>
      <c r="H12" s="182">
        <f>IFERROR(SUMIFS(D_D[INV],D_D[MT],3,D_D[EP],$A12),0)</f>
        <v>9159</v>
      </c>
      <c r="I12" s="182">
        <f>IFERROR(SUMIFS(D_D[BL],D_D[MT],3,D_D[EP],$A12),0)</f>
        <v>1930</v>
      </c>
      <c r="J12" s="187">
        <f t="shared" si="1"/>
        <v>0.21072169450813408</v>
      </c>
      <c r="K12" s="29"/>
    </row>
    <row r="13" spans="1:11" s="144" customFormat="1" ht="15" customHeight="1" x14ac:dyDescent="0.2">
      <c r="A13" s="146" t="s">
        <v>19</v>
      </c>
      <c r="B13" s="287" t="s">
        <v>15</v>
      </c>
      <c r="C13" s="287"/>
      <c r="D13" s="287"/>
      <c r="E13" s="287"/>
      <c r="F13" s="287"/>
      <c r="G13" s="274" t="s">
        <v>163</v>
      </c>
      <c r="H13" s="182">
        <f>IFERROR(SUMIFS(D_D[INV],D_D[MT],3,D_D[EP],$A13),0)</f>
        <v>210778</v>
      </c>
      <c r="I13" s="182">
        <f>IFERROR(SUMIFS(D_D[BL],D_D[MT],3,D_D[EP],$A13),0)</f>
        <v>40848</v>
      </c>
      <c r="J13" s="187">
        <f t="shared" si="1"/>
        <v>0.19379631650361992</v>
      </c>
      <c r="K13" s="29"/>
    </row>
    <row r="14" spans="1:11" s="144" customFormat="1" ht="15" customHeight="1" x14ac:dyDescent="0.2">
      <c r="A14" s="146" t="s">
        <v>407</v>
      </c>
      <c r="B14" s="287" t="s">
        <v>12</v>
      </c>
      <c r="C14" s="287"/>
      <c r="D14" s="287"/>
      <c r="E14" s="287"/>
      <c r="F14" s="287"/>
      <c r="G14" s="274" t="s">
        <v>167</v>
      </c>
      <c r="H14" s="182">
        <f>IFERROR(SUMIFS(D_D[INV],D_D[MT],3,D_D[EP],$A14),0)</f>
        <v>23069</v>
      </c>
      <c r="I14" s="182">
        <f>IFERROR(SUMIFS(D_D[BL],D_D[MT],3,D_D[EP],$A14),0)</f>
        <v>714</v>
      </c>
      <c r="J14" s="187">
        <f t="shared" si="1"/>
        <v>3.0950626381724394E-2</v>
      </c>
      <c r="K14" s="29"/>
    </row>
    <row r="15" spans="1:11" s="144" customFormat="1" ht="15" customHeight="1" x14ac:dyDescent="0.2">
      <c r="A15" s="146" t="s">
        <v>80</v>
      </c>
      <c r="B15" s="288" t="s">
        <v>16</v>
      </c>
      <c r="C15" s="288"/>
      <c r="D15" s="288"/>
      <c r="E15" s="288"/>
      <c r="F15" s="288"/>
      <c r="G15" s="276" t="s">
        <v>168</v>
      </c>
      <c r="H15" s="182">
        <f>IFERROR(SUMIFS(D_D[INV],D_D[MT],3,D_D[EP],$A15),0)</f>
        <v>1083</v>
      </c>
      <c r="I15" s="182">
        <f>IFERROR(SUMIFS(D_D[BL],D_D[MT],3,D_D[EP],$A15),0)</f>
        <v>203</v>
      </c>
      <c r="J15" s="187">
        <f t="shared" si="1"/>
        <v>0.18744228993536471</v>
      </c>
      <c r="K15" s="29"/>
    </row>
    <row r="16" spans="1:11" s="144" customFormat="1" ht="15" customHeight="1" x14ac:dyDescent="0.2">
      <c r="A16" s="146" t="s">
        <v>81</v>
      </c>
      <c r="B16" s="288" t="s">
        <v>879</v>
      </c>
      <c r="C16" s="288"/>
      <c r="D16" s="288"/>
      <c r="E16" s="288"/>
      <c r="F16" s="288"/>
      <c r="G16" s="276" t="s">
        <v>171</v>
      </c>
      <c r="H16" s="182">
        <f>IFERROR(SUMIFS(D_D[INV],D_D[MT],3,D_D[EP],$A16),0)</f>
        <v>35</v>
      </c>
      <c r="I16" s="182">
        <f>IFERROR(SUMIFS(D_D[BL],D_D[MT],3,D_D[EP],$A16),0)</f>
        <v>23</v>
      </c>
      <c r="J16" s="187">
        <f t="shared" si="1"/>
        <v>0.65714285714285714</v>
      </c>
      <c r="K16" s="29"/>
    </row>
    <row r="17" spans="1:11" s="144" customFormat="1" ht="15" customHeight="1" x14ac:dyDescent="0.2">
      <c r="A17" s="146" t="s">
        <v>420</v>
      </c>
      <c r="B17" s="288" t="s">
        <v>880</v>
      </c>
      <c r="C17" s="288"/>
      <c r="D17" s="288"/>
      <c r="E17" s="288"/>
      <c r="F17" s="288"/>
      <c r="G17" s="276" t="s">
        <v>172</v>
      </c>
      <c r="H17" s="182">
        <f>IFERROR(SUMIFS(D_D[INV],D_D[MT],3,D_D[EP],$A17),0)</f>
        <v>0</v>
      </c>
      <c r="I17" s="182">
        <f>IFERROR(SUMIFS(D_D[BL],D_D[MT],3,D_D[EP],$A17),0)</f>
        <v>0</v>
      </c>
      <c r="J17" s="187">
        <f>IF(H17=0, 0,I17/H17)</f>
        <v>0</v>
      </c>
      <c r="K17" s="29"/>
    </row>
    <row r="18" spans="1:11" s="144" customFormat="1" ht="15" customHeight="1" x14ac:dyDescent="0.2">
      <c r="A18" s="146" t="s">
        <v>78</v>
      </c>
      <c r="B18" s="288" t="s">
        <v>881</v>
      </c>
      <c r="C18" s="288"/>
      <c r="D18" s="288"/>
      <c r="E18" s="288"/>
      <c r="F18" s="288"/>
      <c r="G18" s="276" t="s">
        <v>173</v>
      </c>
      <c r="H18" s="182">
        <f>IFERROR(SUMIFS(D_D[INV],D_D[MT],3,D_D[EP],$A18),0)</f>
        <v>0</v>
      </c>
      <c r="I18" s="182">
        <f>IFERROR(SUMIFS(D_D[BL],D_D[MT],3,D_D[EP],$A18),0)</f>
        <v>0</v>
      </c>
      <c r="J18" s="187">
        <f>IF(H18=0, 0,I18/H18)</f>
        <v>0</v>
      </c>
      <c r="K18" s="29"/>
    </row>
    <row r="19" spans="1:11" s="144" customFormat="1" ht="27" customHeight="1" x14ac:dyDescent="0.2">
      <c r="A19" s="146" t="s">
        <v>369</v>
      </c>
      <c r="B19" s="288" t="s">
        <v>882</v>
      </c>
      <c r="C19" s="288"/>
      <c r="D19" s="288"/>
      <c r="E19" s="288"/>
      <c r="F19" s="288"/>
      <c r="G19" s="276" t="s">
        <v>174</v>
      </c>
      <c r="H19" s="182">
        <f>IFERROR(SUMIFS(D_D[INV],D_D[MT],3,D_D[EP],$A19),0)</f>
        <v>0</v>
      </c>
      <c r="I19" s="182">
        <f>IFERROR(SUMIFS(D_D[BL],D_D[MT],3,D_D[EP],$A19),0)</f>
        <v>0</v>
      </c>
      <c r="J19" s="187">
        <f>IF(H19=0, 0,I19/H19)</f>
        <v>0</v>
      </c>
      <c r="K19" s="29"/>
    </row>
    <row r="20" spans="1:11" ht="15" customHeight="1" x14ac:dyDescent="0.2">
      <c r="A20" s="145"/>
      <c r="B20" s="30"/>
      <c r="C20" s="30"/>
      <c r="D20" s="30"/>
      <c r="E20" s="30"/>
      <c r="F20" s="30"/>
      <c r="G20" s="30"/>
      <c r="H20" s="30"/>
      <c r="I20" s="30"/>
      <c r="J20" s="30"/>
      <c r="K20" s="31"/>
    </row>
    <row r="21" spans="1:11" ht="30" customHeight="1" x14ac:dyDescent="0.2">
      <c r="A21" s="145"/>
      <c r="B21" s="297" t="s">
        <v>813</v>
      </c>
      <c r="C21" s="297"/>
      <c r="D21" s="297"/>
      <c r="E21" s="297"/>
      <c r="F21" s="297"/>
      <c r="G21" s="180" t="str">
        <f>"Pending on " &amp;TEXT(D_DT[]-1,"MM/DD/YY")</f>
        <v>Pending on 03/15/19</v>
      </c>
      <c r="H21" s="180" t="str">
        <f>"Pending on " &amp;TEXT(D_DT[]-8,"MM/DD/YY")</f>
        <v>Pending on 03/08/19</v>
      </c>
      <c r="I21" s="180" t="s">
        <v>790</v>
      </c>
      <c r="J21" s="180" t="s">
        <v>789</v>
      </c>
      <c r="K21" s="29"/>
    </row>
    <row r="22" spans="1:11" ht="16.5" customHeight="1" x14ac:dyDescent="0.2">
      <c r="A22" s="145">
        <v>1</v>
      </c>
      <c r="B22" s="290" t="s">
        <v>819</v>
      </c>
      <c r="C22" s="290"/>
      <c r="D22" s="290"/>
      <c r="E22" s="290"/>
      <c r="F22" s="290"/>
      <c r="G22" s="191">
        <f>IFERROR(SUMIFS(D_D[INV],D_D[MT],9,D_D[CAT],1,D_D[LOC],$A22),0)</f>
        <v>6624</v>
      </c>
      <c r="H22" s="191">
        <f>IFERROR(SUMIFS(D_D[BL],D_D[MT],9,D_D[CAT],1,D_D[LOC],$A22),0)</f>
        <v>6583</v>
      </c>
      <c r="I22" s="191">
        <f>IFERROR(SUMIFS(D_D[ADP],D_D[MT],9,D_D[CAT],1,D_D[LOC],$A22),0)</f>
        <v>41</v>
      </c>
      <c r="J22" s="192">
        <f>I22/H22</f>
        <v>6.2281634513139906E-3</v>
      </c>
      <c r="K22" s="29"/>
    </row>
    <row r="23" spans="1:11" ht="15.75" customHeight="1" x14ac:dyDescent="0.2">
      <c r="A23" s="145">
        <v>307</v>
      </c>
      <c r="B23" s="292" t="s">
        <v>20</v>
      </c>
      <c r="C23" s="292"/>
      <c r="D23" s="292"/>
      <c r="E23" s="292"/>
      <c r="F23" s="292"/>
      <c r="G23" s="182">
        <f>IFERROR(SUMIFS(D_D[INV],D_D[MT],9,D_D[CAT],1,D_D[LOC],$A23),0)</f>
        <v>2170</v>
      </c>
      <c r="H23" s="182">
        <f>IFERROR(SUMIFS(D_D[BL],D_D[MT],9,D_D[CAT],1,D_D[LOC],$A23),0)</f>
        <v>2050</v>
      </c>
      <c r="I23" s="182">
        <f>IFERROR(SUMIFS(D_D[ADP],D_D[MT],9,D_D[CAT],1,D_D[LOC],$A23),0)</f>
        <v>120</v>
      </c>
      <c r="J23" s="183">
        <f t="shared" ref="J23:J26" si="2">I23/H23</f>
        <v>5.8536585365853662E-2</v>
      </c>
      <c r="K23" s="29"/>
    </row>
    <row r="24" spans="1:11" ht="15.75" customHeight="1" x14ac:dyDescent="0.2">
      <c r="A24" s="145">
        <v>316</v>
      </c>
      <c r="B24" s="291" t="s">
        <v>21</v>
      </c>
      <c r="C24" s="291"/>
      <c r="D24" s="291"/>
      <c r="E24" s="291"/>
      <c r="F24" s="291"/>
      <c r="G24" s="182">
        <f>IFERROR(SUMIFS(D_D[INV],D_D[MT],9,D_D[CAT],1,D_D[LOC],$A24),0)</f>
        <v>0</v>
      </c>
      <c r="H24" s="182">
        <f>IFERROR(SUMIFS(D_D[BL],D_D[MT],9,D_D[CAT],1,D_D[LOC],$A24),0)</f>
        <v>0</v>
      </c>
      <c r="I24" s="182">
        <f>IFERROR(SUMIFS(D_D[ADP],D_D[MT],9,D_D[CAT],1,D_D[LOC],$A24),0)</f>
        <v>0</v>
      </c>
      <c r="J24" s="187">
        <f t="shared" ref="J24" si="3">IF(H24=0, 0,I24/H24)</f>
        <v>0</v>
      </c>
      <c r="K24" s="29"/>
    </row>
    <row r="25" spans="1:11" ht="15" x14ac:dyDescent="0.2">
      <c r="A25" s="145">
        <v>331</v>
      </c>
      <c r="B25" s="292" t="s">
        <v>22</v>
      </c>
      <c r="C25" s="292"/>
      <c r="D25" s="292"/>
      <c r="E25" s="292"/>
      <c r="F25" s="292"/>
      <c r="G25" s="182">
        <f>IFERROR(SUMIFS(D_D[INV],D_D[MT],9,D_D[CAT],1,D_D[LOC],$A25),0)</f>
        <v>1652</v>
      </c>
      <c r="H25" s="182">
        <f>IFERROR(SUMIFS(D_D[BL],D_D[MT],9,D_D[CAT],1,D_D[LOC],$A25),0)</f>
        <v>1754</v>
      </c>
      <c r="I25" s="182">
        <f>IFERROR(SUMIFS(D_D[ADP],D_D[MT],9,D_D[CAT],1,D_D[LOC],$A25),0)</f>
        <v>-102</v>
      </c>
      <c r="J25" s="183">
        <f t="shared" si="2"/>
        <v>-5.8152793614595209E-2</v>
      </c>
      <c r="K25" s="29"/>
    </row>
    <row r="26" spans="1:11" ht="15" x14ac:dyDescent="0.2">
      <c r="A26" s="145">
        <v>351</v>
      </c>
      <c r="B26" s="292" t="s">
        <v>23</v>
      </c>
      <c r="C26" s="292"/>
      <c r="D26" s="292"/>
      <c r="E26" s="292"/>
      <c r="F26" s="292"/>
      <c r="G26" s="182">
        <f>IFERROR(SUMIFS(D_D[INV],D_D[MT],9,D_D[CAT],1,D_D[LOC],$A26),0)</f>
        <v>2802</v>
      </c>
      <c r="H26" s="182">
        <f>IFERROR(SUMIFS(D_D[BL],D_D[MT],9,D_D[CAT],1,D_D[LOC],$A26),0)</f>
        <v>2779</v>
      </c>
      <c r="I26" s="182">
        <f>IFERROR(SUMIFS(D_D[ADP],D_D[MT],9,D_D[CAT],1,D_D[LOC],$A26),0)</f>
        <v>23</v>
      </c>
      <c r="J26" s="183">
        <f t="shared" si="2"/>
        <v>8.2763584023029871E-3</v>
      </c>
      <c r="K26" s="29"/>
    </row>
    <row r="27" spans="1:11" ht="16.5" customHeight="1" x14ac:dyDescent="0.2">
      <c r="A27" s="145">
        <v>1</v>
      </c>
      <c r="B27" s="290" t="s">
        <v>818</v>
      </c>
      <c r="C27" s="290"/>
      <c r="D27" s="290"/>
      <c r="E27" s="290"/>
      <c r="F27" s="290"/>
      <c r="G27" s="191">
        <f>IFERROR(SUMIFS(D_D[INV],D_D[MT],9,D_D[CAT],2,D_D[LOC],$A27),0)</f>
        <v>143771</v>
      </c>
      <c r="H27" s="191">
        <f>IFERROR(SUMIFS(D_D[BL],D_D[MT],9,D_D[CAT],2,D_D[LOC],$A27),0)</f>
        <v>149227</v>
      </c>
      <c r="I27" s="191">
        <f>IFERROR(SUMIFS(D_D[ADP],D_D[MT],9,D_D[CAT],2,D_D[LOC],$A27),0)</f>
        <v>-5456</v>
      </c>
      <c r="J27" s="192">
        <f>I27/H27</f>
        <v>-3.6561748209104253E-2</v>
      </c>
      <c r="K27" s="29"/>
    </row>
    <row r="28" spans="1:11" ht="15" x14ac:dyDescent="0.2">
      <c r="A28" s="145">
        <v>307</v>
      </c>
      <c r="B28" s="292" t="s">
        <v>20</v>
      </c>
      <c r="C28" s="292"/>
      <c r="D28" s="292"/>
      <c r="E28" s="292"/>
      <c r="F28" s="292"/>
      <c r="G28" s="182">
        <f>IFERROR(SUMIFS(D_D[INV],D_D[MT],9,D_D[CAT],2,D_D[LOC],$A28),0)</f>
        <v>26158</v>
      </c>
      <c r="H28" s="182">
        <f>IFERROR(SUMIFS(D_D[BL],D_D[MT],9,D_D[CAT],2,D_D[LOC],$A28),0)</f>
        <v>26876</v>
      </c>
      <c r="I28" s="182">
        <f>IFERROR(SUMIFS(D_D[ADP],D_D[MT],9,D_D[CAT],2,D_D[LOC],$A28),0)</f>
        <v>-718</v>
      </c>
      <c r="J28" s="183">
        <f t="shared" ref="J28:J31" si="4">I28/H28</f>
        <v>-2.6715285012650691E-2</v>
      </c>
      <c r="K28" s="29"/>
    </row>
    <row r="29" spans="1:11" ht="15" x14ac:dyDescent="0.2">
      <c r="A29" s="145">
        <v>316</v>
      </c>
      <c r="B29" s="291" t="s">
        <v>21</v>
      </c>
      <c r="C29" s="291"/>
      <c r="D29" s="291"/>
      <c r="E29" s="291"/>
      <c r="F29" s="291"/>
      <c r="G29" s="182">
        <f>IFERROR(SUMIFS(D_D[INV],D_D[MT],9,D_D[CAT],2,D_D[LOC],$A29),0)</f>
        <v>1</v>
      </c>
      <c r="H29" s="182">
        <f>IFERROR(SUMIFS(D_D[BL],D_D[MT],9,D_D[CAT],2,D_D[LOC],$A29),0)</f>
        <v>1</v>
      </c>
      <c r="I29" s="182">
        <f>IFERROR(SUMIFS(D_D[ADP],D_D[MT],9,D_D[CAT],2,D_D[LOC],$A29),0)</f>
        <v>0</v>
      </c>
      <c r="J29" s="187">
        <f t="shared" ref="J29" si="5">IF(H29=0, 0,I29/H29)</f>
        <v>0</v>
      </c>
      <c r="K29" s="29"/>
    </row>
    <row r="30" spans="1:11" ht="15" x14ac:dyDescent="0.2">
      <c r="A30" s="145">
        <v>331</v>
      </c>
      <c r="B30" s="292" t="s">
        <v>22</v>
      </c>
      <c r="C30" s="292"/>
      <c r="D30" s="292"/>
      <c r="E30" s="292"/>
      <c r="F30" s="292"/>
      <c r="G30" s="182">
        <f>IFERROR(SUMIFS(D_D[INV],D_D[MT],9,D_D[CAT],2,D_D[LOC],$A30),0)</f>
        <v>45134</v>
      </c>
      <c r="H30" s="182">
        <f>IFERROR(SUMIFS(D_D[BL],D_D[MT],9,D_D[CAT],2,D_D[LOC],$A30),0)</f>
        <v>44367</v>
      </c>
      <c r="I30" s="182">
        <f>IFERROR(SUMIFS(D_D[ADP],D_D[MT],9,D_D[CAT],2,D_D[LOC],$A30),0)</f>
        <v>767</v>
      </c>
      <c r="J30" s="183">
        <f t="shared" si="4"/>
        <v>1.7287623684269841E-2</v>
      </c>
      <c r="K30" s="29"/>
    </row>
    <row r="31" spans="1:11" ht="15" x14ac:dyDescent="0.2">
      <c r="A31" s="145">
        <v>351</v>
      </c>
      <c r="B31" s="292" t="s">
        <v>23</v>
      </c>
      <c r="C31" s="292"/>
      <c r="D31" s="292"/>
      <c r="E31" s="292"/>
      <c r="F31" s="292"/>
      <c r="G31" s="182">
        <f>IFERROR(SUMIFS(D_D[INV],D_D[MT],9,D_D[CAT],2,D_D[LOC],$A31),0)</f>
        <v>72478</v>
      </c>
      <c r="H31" s="182">
        <f>IFERROR(SUMIFS(D_D[BL],D_D[MT],9,D_D[CAT],2,D_D[LOC],$A31),0)</f>
        <v>77983</v>
      </c>
      <c r="I31" s="182">
        <f>IFERROR(SUMIFS(D_D[ADP],D_D[MT],9,D_D[CAT],2,D_D[LOC],$A31),0)</f>
        <v>-5505</v>
      </c>
      <c r="J31" s="183">
        <f t="shared" si="4"/>
        <v>-7.0592308580075147E-2</v>
      </c>
      <c r="K31" s="29"/>
    </row>
    <row r="32" spans="1:11" ht="5.0999999999999996" customHeight="1" x14ac:dyDescent="0.2">
      <c r="A32" s="145"/>
      <c r="B32" s="246"/>
      <c r="C32" s="246"/>
      <c r="D32" s="246"/>
      <c r="E32" s="246"/>
      <c r="F32" s="246"/>
      <c r="G32" s="247"/>
      <c r="H32" s="247"/>
      <c r="I32" s="247"/>
      <c r="J32" s="248"/>
      <c r="K32" s="29"/>
    </row>
    <row r="33" spans="1:11" ht="15.75" customHeight="1" x14ac:dyDescent="0.2">
      <c r="A33" s="25"/>
      <c r="B33" s="289" t="s">
        <v>816</v>
      </c>
      <c r="C33" s="289"/>
      <c r="D33" s="289"/>
      <c r="E33" s="289"/>
      <c r="F33" s="289"/>
      <c r="G33" s="289"/>
      <c r="H33" s="289"/>
      <c r="I33" s="289"/>
      <c r="J33" s="289"/>
      <c r="K33" s="29"/>
    </row>
    <row r="34" spans="1:11" ht="15.75" customHeight="1" x14ac:dyDescent="0.2">
      <c r="A34" s="25"/>
      <c r="B34" s="289" t="s">
        <v>817</v>
      </c>
      <c r="C34" s="289"/>
      <c r="D34" s="289"/>
      <c r="E34" s="289"/>
      <c r="F34" s="289"/>
      <c r="G34" s="289"/>
      <c r="H34" s="289"/>
      <c r="I34" s="289"/>
      <c r="J34" s="289"/>
      <c r="K34" s="29"/>
    </row>
    <row r="35" spans="1:11" ht="15" customHeight="1" x14ac:dyDescent="0.2">
      <c r="A35" s="32"/>
      <c r="B35" s="33"/>
      <c r="C35" s="33"/>
      <c r="D35" s="33"/>
      <c r="E35" s="33"/>
      <c r="F35" s="33"/>
      <c r="G35" s="33"/>
      <c r="H35" s="33"/>
      <c r="I35" s="33"/>
      <c r="J35" s="33"/>
      <c r="K35" s="31"/>
    </row>
    <row r="36" spans="1:11" hidden="1" x14ac:dyDescent="0.2"/>
    <row r="37" spans="1:11" hidden="1" x14ac:dyDescent="0.2"/>
    <row r="38" spans="1:11" hidden="1" x14ac:dyDescent="0.2"/>
    <row r="39" spans="1:11" hidden="1" x14ac:dyDescent="0.2"/>
    <row r="40" spans="1:11" hidden="1" x14ac:dyDescent="0.2"/>
    <row r="41" spans="1:11" hidden="1" x14ac:dyDescent="0.2"/>
    <row r="42" spans="1:11" hidden="1" x14ac:dyDescent="0.2"/>
    <row r="43" spans="1:11" hidden="1" x14ac:dyDescent="0.2"/>
    <row r="44" spans="1:11" hidden="1" x14ac:dyDescent="0.2"/>
    <row r="45" spans="1:11" hidden="1" x14ac:dyDescent="0.2"/>
    <row r="46" spans="1:11" hidden="1" x14ac:dyDescent="0.2"/>
    <row r="47" spans="1:11" hidden="1" x14ac:dyDescent="0.2"/>
    <row r="48" spans="1:11"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sheetData>
  <sheetProtection autoFilter="0"/>
  <mergeCells count="33">
    <mergeCell ref="B34:J34"/>
    <mergeCell ref="J3:J4"/>
    <mergeCell ref="B28:F28"/>
    <mergeCell ref="B23:F23"/>
    <mergeCell ref="B24:F24"/>
    <mergeCell ref="B25:F25"/>
    <mergeCell ref="B26:F26"/>
    <mergeCell ref="B27:F27"/>
    <mergeCell ref="B21:F21"/>
    <mergeCell ref="I3:I4"/>
    <mergeCell ref="H3:H4"/>
    <mergeCell ref="B6:F6"/>
    <mergeCell ref="B5:F5"/>
    <mergeCell ref="B3:F3"/>
    <mergeCell ref="B11:F11"/>
    <mergeCell ref="B12:F12"/>
    <mergeCell ref="B13:F13"/>
    <mergeCell ref="B2:F2"/>
    <mergeCell ref="B7:F7"/>
    <mergeCell ref="B8:F8"/>
    <mergeCell ref="B9:F9"/>
    <mergeCell ref="B10:F10"/>
    <mergeCell ref="B14:F14"/>
    <mergeCell ref="B15:F15"/>
    <mergeCell ref="B33:J33"/>
    <mergeCell ref="B16:F16"/>
    <mergeCell ref="B17:F17"/>
    <mergeCell ref="B18:F18"/>
    <mergeCell ref="B19:F19"/>
    <mergeCell ref="B22:F22"/>
    <mergeCell ref="B29:F29"/>
    <mergeCell ref="B30:F30"/>
    <mergeCell ref="B31:F31"/>
  </mergeCells>
  <phoneticPr fontId="0" type="noConversion"/>
  <conditionalFormatting sqref="J7:J8 J10 J12:J19">
    <cfRule type="expression" dxfId="567" priority="28" stopIfTrue="1">
      <formula>ISERROR(J7)</formula>
    </cfRule>
  </conditionalFormatting>
  <conditionalFormatting sqref="J9">
    <cfRule type="expression" dxfId="566" priority="3" stopIfTrue="1">
      <formula>ISERROR(J9)</formula>
    </cfRule>
  </conditionalFormatting>
  <conditionalFormatting sqref="J24">
    <cfRule type="expression" dxfId="565" priority="2" stopIfTrue="1">
      <formula>ISERROR(J24)</formula>
    </cfRule>
  </conditionalFormatting>
  <conditionalFormatting sqref="J29">
    <cfRule type="expression" dxfId="564" priority="1" stopIfTrue="1">
      <formula>ISERROR(J29)</formula>
    </cfRule>
  </conditionalFormatting>
  <printOptions horizontalCentered="1" verticalCentered="1"/>
  <pageMargins left="0.25" right="0.25" top="0.75" bottom="0.75" header="0.3" footer="0.3"/>
  <pageSetup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35" max="14" man="1"/>
  </rowBreaks>
  <ignoredErrors>
    <ignoredError sqref="H11:I11" formula="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9"/>
  <dimension ref="A1:R39"/>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0.8554687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30" t="s">
        <v>449</v>
      </c>
      <c r="D2" s="293" t="s">
        <v>804</v>
      </c>
      <c r="E2" s="294"/>
      <c r="F2" s="294"/>
      <c r="G2" s="294"/>
      <c r="H2" s="294"/>
      <c r="I2" s="294"/>
      <c r="J2" s="294"/>
      <c r="K2" s="310"/>
      <c r="L2" s="293" t="s">
        <v>460</v>
      </c>
      <c r="M2" s="294"/>
      <c r="N2" s="294"/>
      <c r="O2" s="294"/>
      <c r="P2" s="294"/>
      <c r="Q2" s="310"/>
      <c r="R2" s="6"/>
    </row>
    <row r="3" spans="1:18" ht="15" customHeight="1" x14ac:dyDescent="0.2">
      <c r="B3" s="4"/>
      <c r="C3" s="92"/>
      <c r="D3" s="311" t="s">
        <v>806</v>
      </c>
      <c r="E3" s="312"/>
      <c r="F3" s="312"/>
      <c r="G3" s="312"/>
      <c r="H3" s="312"/>
      <c r="I3" s="312"/>
      <c r="J3" s="312"/>
      <c r="K3" s="313"/>
      <c r="L3" s="314">
        <f>D_DT[]</f>
        <v>43540</v>
      </c>
      <c r="M3" s="315"/>
      <c r="N3" s="315"/>
      <c r="O3" s="315"/>
      <c r="P3" s="315"/>
      <c r="Q3" s="316"/>
      <c r="R3" s="6"/>
    </row>
    <row r="4" spans="1:18" ht="15" customHeight="1" x14ac:dyDescent="0.2">
      <c r="B4" s="4"/>
      <c r="C4" s="92"/>
      <c r="D4" s="162" t="s">
        <v>470</v>
      </c>
      <c r="E4" s="193"/>
      <c r="F4" s="193"/>
      <c r="G4" s="193"/>
      <c r="H4" s="193"/>
      <c r="I4" s="193"/>
      <c r="J4" s="193"/>
      <c r="K4" s="194"/>
      <c r="L4" s="162" t="s">
        <v>454</v>
      </c>
      <c r="M4" s="163"/>
      <c r="N4" s="163"/>
      <c r="O4" s="163" t="s">
        <v>456</v>
      </c>
      <c r="P4" s="163"/>
      <c r="Q4" s="164"/>
      <c r="R4" s="6"/>
    </row>
    <row r="5" spans="1:18" ht="15" customHeight="1" x14ac:dyDescent="0.3">
      <c r="B5" s="7"/>
      <c r="C5" s="87"/>
      <c r="D5" s="174" t="s">
        <v>453</v>
      </c>
      <c r="E5" s="117"/>
      <c r="F5" s="117"/>
      <c r="G5" s="117"/>
      <c r="H5" s="117"/>
      <c r="I5" s="117"/>
      <c r="J5" s="117"/>
      <c r="K5" s="175"/>
      <c r="L5" s="165" t="s">
        <v>455</v>
      </c>
      <c r="M5" s="118"/>
      <c r="N5" s="118"/>
      <c r="O5" s="118" t="s">
        <v>457</v>
      </c>
      <c r="P5" s="118"/>
      <c r="Q5" s="166"/>
      <c r="R5" s="71"/>
    </row>
    <row r="6" spans="1:18" ht="15" customHeight="1" x14ac:dyDescent="0.3">
      <c r="B6" s="7"/>
      <c r="C6" s="87"/>
      <c r="D6" s="174" t="s">
        <v>848</v>
      </c>
      <c r="E6" s="117"/>
      <c r="F6" s="117"/>
      <c r="G6" s="117"/>
      <c r="H6" s="117"/>
      <c r="I6" s="117"/>
      <c r="J6" s="117"/>
      <c r="K6" s="175"/>
      <c r="L6" s="165"/>
      <c r="M6" s="118"/>
      <c r="N6" s="118"/>
      <c r="O6" s="118"/>
      <c r="P6" s="118"/>
      <c r="Q6" s="166"/>
      <c r="R6" s="71"/>
    </row>
    <row r="7" spans="1:18" ht="15" customHeight="1" x14ac:dyDescent="0.2">
      <c r="B7" s="6"/>
      <c r="C7" s="9"/>
      <c r="D7" s="172"/>
      <c r="E7" s="173"/>
      <c r="F7" s="173"/>
      <c r="G7" s="173"/>
      <c r="H7" s="173"/>
      <c r="I7" s="173"/>
      <c r="J7" s="173"/>
      <c r="K7" s="176"/>
      <c r="L7" s="305" t="s">
        <v>833</v>
      </c>
      <c r="M7" s="306"/>
      <c r="N7" s="306"/>
      <c r="O7" s="306"/>
      <c r="P7" s="306"/>
      <c r="Q7" s="307"/>
      <c r="R7" s="9"/>
    </row>
    <row r="8" spans="1:18" s="86" customFormat="1" ht="15" customHeight="1" x14ac:dyDescent="0.25">
      <c r="B8" s="84"/>
      <c r="C8" s="8"/>
      <c r="D8" s="318" t="s">
        <v>471</v>
      </c>
      <c r="E8" s="319"/>
      <c r="F8" s="319"/>
      <c r="G8" s="319"/>
      <c r="H8" s="319"/>
      <c r="I8" s="319"/>
      <c r="J8" s="319"/>
      <c r="K8" s="319"/>
      <c r="L8" s="302" t="s">
        <v>472</v>
      </c>
      <c r="M8" s="302"/>
      <c r="N8" s="302"/>
      <c r="O8" s="302"/>
      <c r="P8" s="302"/>
      <c r="Q8" s="302"/>
      <c r="R8" s="85"/>
    </row>
    <row r="9" spans="1:18" s="86" customFormat="1" ht="15" customHeight="1" x14ac:dyDescent="0.25">
      <c r="B9" s="84"/>
      <c r="C9" s="119" t="s">
        <v>434</v>
      </c>
      <c r="D9" s="303" t="s">
        <v>462</v>
      </c>
      <c r="E9" s="303" t="s">
        <v>463</v>
      </c>
      <c r="F9" s="303" t="s">
        <v>464</v>
      </c>
      <c r="G9" s="317" t="s">
        <v>106</v>
      </c>
      <c r="H9" s="303" t="s">
        <v>465</v>
      </c>
      <c r="I9" s="303" t="s">
        <v>467</v>
      </c>
      <c r="J9" s="303" t="s">
        <v>466</v>
      </c>
      <c r="K9" s="303" t="s">
        <v>468</v>
      </c>
      <c r="L9" s="301" t="s">
        <v>473</v>
      </c>
      <c r="M9" s="301" t="s">
        <v>474</v>
      </c>
      <c r="N9" s="302" t="s">
        <v>475</v>
      </c>
      <c r="O9" s="302"/>
      <c r="P9" s="302" t="s">
        <v>478</v>
      </c>
      <c r="Q9" s="302"/>
      <c r="R9" s="85"/>
    </row>
    <row r="10" spans="1:18" s="86" customFormat="1" ht="15" customHeight="1" x14ac:dyDescent="0.25">
      <c r="B10" s="84"/>
      <c r="C10" s="8"/>
      <c r="D10" s="308"/>
      <c r="E10" s="308"/>
      <c r="F10" s="308"/>
      <c r="G10" s="308"/>
      <c r="H10" s="308"/>
      <c r="I10" s="308"/>
      <c r="J10" s="308"/>
      <c r="K10" s="308"/>
      <c r="L10" s="301"/>
      <c r="M10" s="302"/>
      <c r="N10" s="121" t="s">
        <v>461</v>
      </c>
      <c r="O10" s="303" t="s">
        <v>477</v>
      </c>
      <c r="P10" s="121" t="s">
        <v>461</v>
      </c>
      <c r="Q10" s="303" t="s">
        <v>477</v>
      </c>
      <c r="R10" s="85"/>
    </row>
    <row r="11" spans="1:18" s="86" customFormat="1" ht="15" customHeight="1" x14ac:dyDescent="0.25">
      <c r="B11" s="84"/>
      <c r="C11" s="8"/>
      <c r="D11" s="309"/>
      <c r="E11" s="309"/>
      <c r="F11" s="309"/>
      <c r="G11" s="309"/>
      <c r="H11" s="309"/>
      <c r="I11" s="309"/>
      <c r="J11" s="309"/>
      <c r="K11" s="309"/>
      <c r="L11" s="301"/>
      <c r="M11" s="302"/>
      <c r="N11" s="122" t="s">
        <v>476</v>
      </c>
      <c r="O11" s="304"/>
      <c r="P11" s="122" t="s">
        <v>476</v>
      </c>
      <c r="Q11" s="304"/>
      <c r="R11" s="85"/>
    </row>
    <row r="12" spans="1:18" ht="12.75" x14ac:dyDescent="0.2">
      <c r="A12" s="120">
        <v>100</v>
      </c>
      <c r="B12" s="23"/>
      <c r="C12" s="148" t="str">
        <f>Driver!$C$20&amp; " Total"</f>
        <v>USA - All Missions Total</v>
      </c>
      <c r="D12" s="153">
        <f>IF(ISNA($A12),"",IFERROR(SUMIFS(D_D[INV],D_D[MT],5,D_D[CAT],SMS, D_D[EP],-1,D_D[LOC],$A12),0))</f>
        <v>365584</v>
      </c>
      <c r="E12" s="153">
        <f>IF(ISNA($A12),"",IFERROR(SUMIFS(D_D[BL],D_D[MT],5,D_D[CAT],SMS, D_D[EP],-1,D_D[LOC],$A12),0))</f>
        <v>81966</v>
      </c>
      <c r="F12" s="154">
        <f>IF(ISNA($A12),"",IFERROR(E12/D12,0))</f>
        <v>0.22420565451442076</v>
      </c>
      <c r="G12" s="155">
        <f>IF(ISNA($A12),"",IFERROR(SUMIFS(D_D[ADP],D_D[MT],5,D_D[CAT],SMS, D_D[EP],-1,D_D[LOC],$A12),0))</f>
        <v>95.33</v>
      </c>
      <c r="H12" s="153">
        <f>IF(ISNA($A12),"",IFERROR(SUMIFS(D_D[PROD_MTD],D_D[MT],5,D_D[CAT],SMS, D_D[EP],-1,D_D[LOC],$A12),0))</f>
        <v>51081</v>
      </c>
      <c r="I12" s="155">
        <f>IF(ISNA($A12),"",IFERROR(SUMIFS(D_D[ADCM],D_D[MT],5,D_D[CAT],SMS, D_D[EP],-1,D_D[LOC],$A12),0))</f>
        <v>126.39</v>
      </c>
      <c r="J12" s="153">
        <f>IF(ISNA($A12),"",IFERROR(SUMIFS(D_D[PROD_FYTD],D_D[MT],5,D_D[CAT],SMS, D_D[EP],-1,D_D[LOC],$A12),0))</f>
        <v>572337</v>
      </c>
      <c r="K12" s="155">
        <f>IF(ISNA($A12),"",IFERROR(SUMIFS(D_D[ADCF],D_D[MT],5,D_D[CAT],SMS, D_D[EP],-1,D_D[LOC],$A12),0))</f>
        <v>113.18</v>
      </c>
      <c r="L12" s="127">
        <f>IF(ISNA($A12-99),"",IFERROR(SUMIFS(D_D[INV],D_D[MT],8,D_D[CAT],SMS,D_D[LOC],$A12-99),0))</f>
        <v>0</v>
      </c>
      <c r="M12" s="127">
        <f>IF(ISNA($A12-99),"",IFERROR(SUMIFS(D_D[BL],D_D[MT],8,D_D[CAT],SMS,D_D[LOC],$A12-99),0))</f>
        <v>0</v>
      </c>
      <c r="N12" s="127">
        <f>IF(ISNA($A12-99),"",IFERROR(SUMIFS(D_D[ADP],D_D[MT],8,D_D[CAT],SMS,D_D[LOC],$A12-99),0))</f>
        <v>0</v>
      </c>
      <c r="O12" s="127">
        <f>IF(ISNA($A12-99),"",IFERROR(SUMIFS(D_D[PROD_MTD],D_D[MT],8,D_D[CAT],SMS,D_D[LOC],$A12-99),0))</f>
        <v>0</v>
      </c>
      <c r="P12" s="127">
        <f>IF(ISNA($A12-99),"",IFERROR(SUMIFS(D_D[PROD_FYTD],D_D[MT],8,D_D[CAT],SMS,D_D[LOC],$A12-99),0))</f>
        <v>0</v>
      </c>
      <c r="Q12" s="127">
        <f>IF(ISNA($A12-99),"",IFERROR(SUMIFS(D_D[ADCM],D_D[MT],8,D_D[CAT],SMS,D_D[LOC],$A12-99),0))</f>
        <v>0</v>
      </c>
      <c r="R12" s="6"/>
    </row>
    <row r="13" spans="1:18" ht="12.75" x14ac:dyDescent="0.2">
      <c r="A13" s="120">
        <f t="shared" ref="A13:A35" ca="1" si="0">INDEX(RO,(MATCH($C13,RO_D,0)))</f>
        <v>394</v>
      </c>
      <c r="B13" s="23">
        <v>1</v>
      </c>
      <c r="C13" s="150" t="str">
        <f ca="1">IFERROR(INDEX(INDIRECT(DS_RO_N),B13),"")</f>
        <v>Northeast District</v>
      </c>
      <c r="D13" s="159">
        <f ca="1">IF(ISNA($A13),"",IFERROR(SUMIFS(D_D[INV],D_D[MT],5,D_D[CAT],SMS, D_D[EP],-1,D_D[LOC],$A13),0))</f>
        <v>26653</v>
      </c>
      <c r="E13" s="159">
        <f ca="1">IF(ISNA($A13),"",IFERROR(SUMIFS(D_D[BL],D_D[MT],5,D_D[CAT],SMS, D_D[EP],-1,D_D[LOC],$A13),0))</f>
        <v>7059</v>
      </c>
      <c r="F13" s="160">
        <f t="shared" ref="F13" ca="1" si="1">IF(ISNA($A13),"",IFERROR(E13/D13,0))</f>
        <v>0.26484823472029417</v>
      </c>
      <c r="G13" s="161">
        <f ca="1">IF(ISNA($A13),"",IFERROR(SUMIFS(D_D[ADP],D_D[MT],5,D_D[CAT],SMS, D_D[EP],-1,D_D[LOC],$A13),0))</f>
        <v>258.16000000000003</v>
      </c>
      <c r="H13" s="159">
        <f ca="1">IF(ISNA($A13),"",IFERROR(SUMIFS(D_D[PROD_MTD],D_D[MT],5,D_D[CAT],SMS, D_D[EP],-1,D_D[LOC],$A13),0))</f>
        <v>15327</v>
      </c>
      <c r="I13" s="161">
        <f ca="1">IF(ISNA($A13),"",IFERROR(SUMIFS(D_D[ADCM],D_D[MT],5,D_D[CAT],SMS, D_D[EP],-1,D_D[LOC],$A13),0))</f>
        <v>119.86</v>
      </c>
      <c r="J13" s="159">
        <f ca="1">IF(ISNA($A13),"",IFERROR(SUMIFS(D_D[PROD_FYTD],D_D[MT],5,D_D[CAT],SMS, D_D[EP],-1,D_D[LOC],$A13),0))</f>
        <v>157233</v>
      </c>
      <c r="K13" s="161">
        <f ca="1">IF(ISNA($A13),"",IFERROR(SUMIFS(D_D[ADCF],D_D[MT],5,D_D[CAT],SMS, D_D[EP],-1,D_D[LOC],$A13),0))</f>
        <v>179.94</v>
      </c>
      <c r="L13" s="88">
        <f ca="1">IF(ISNA($A13),"",IFERROR(SUMIFS(D_D[INV],D_D[MT],8,D_D[CAT],SMS,D_D[LOC],$A13),0))</f>
        <v>0</v>
      </c>
      <c r="M13" s="88">
        <f ca="1">IF(ISNA($A13),"",IFERROR(SUMIFS(D_D[BL],D_D[MT],8,D_D[CAT],SMS,D_D[LOC],$A13),0))</f>
        <v>0</v>
      </c>
      <c r="N13" s="88">
        <f ca="1">IF(ISNA($A13),"",IFERROR(SUMIFS(D_D[ADP],D_D[MT],8,D_D[CAT],SMS,D_D[LOC],$A13),0))</f>
        <v>0</v>
      </c>
      <c r="O13" s="88">
        <f ca="1">IF(ISNA($A13),"",IFERROR(SUMIFS(D_D[PROD_MTD],D_D[MT],8,D_D[CAT],SMS,D_D[LOC],$A13),0))</f>
        <v>0</v>
      </c>
      <c r="P13" s="88">
        <f ca="1">IF(ISNA($A13),"",IFERROR(SUMIFS(D_D[PROD_FYTD],D_D[MT],8,D_D[CAT],SMS,D_D[LOC],$A13),0))</f>
        <v>0</v>
      </c>
      <c r="Q13" s="88">
        <f ca="1">IF(ISNA($A13),"",IFERROR(SUMIFS(D_D[ADCM],D_D[MT],8,D_D[CAT],SMS,D_D[LOC],$A13),0))</f>
        <v>0</v>
      </c>
      <c r="R13" s="6"/>
    </row>
    <row r="14" spans="1:18" ht="12.75" x14ac:dyDescent="0.2">
      <c r="A14" s="120" t="str">
        <f t="shared" ca="1" si="0"/>
        <v>313</v>
      </c>
      <c r="B14" s="23">
        <v>2</v>
      </c>
      <c r="C14" s="150" t="str">
        <f t="shared" ref="C14:C35" ca="1" si="2">IFERROR(INDEX(INDIRECT(DS_RO_N),B14),"")</f>
        <v>Baltimore</v>
      </c>
      <c r="D14" s="159">
        <f ca="1">IF(ISNA($A14),"",IFERROR(SUMIFS(D_D[INV],D_D[MT],5,D_D[CAT],SMS, D_D[EP],-1,D_D[LOC],$A14),0))</f>
        <v>898</v>
      </c>
      <c r="E14" s="159">
        <f ca="1">IF(ISNA($A14),"",IFERROR(SUMIFS(D_D[BL],D_D[MT],5,D_D[CAT],SMS, D_D[EP],-1,D_D[LOC],$A14),0))</f>
        <v>97</v>
      </c>
      <c r="F14" s="160">
        <f t="shared" ref="F14:F35" ca="1" si="3">IF(ISNA($A14),"",IFERROR(E14/D14,0))</f>
        <v>0.10801781737193764</v>
      </c>
      <c r="G14" s="161">
        <f ca="1">IF(ISNA($A14),"",IFERROR(SUMIFS(D_D[ADP],D_D[MT],5,D_D[CAT],SMS, D_D[EP],-1,D_D[LOC],$A14),0))</f>
        <v>78.86</v>
      </c>
      <c r="H14" s="159">
        <f ca="1">IF(ISNA($A14),"",IFERROR(SUMIFS(D_D[PROD_MTD],D_D[MT],5,D_D[CAT],SMS, D_D[EP],-1,D_D[LOC],$A14),0))</f>
        <v>344</v>
      </c>
      <c r="I14" s="161">
        <f ca="1">IF(ISNA($A14),"",IFERROR(SUMIFS(D_D[ADCM],D_D[MT],5,D_D[CAT],SMS, D_D[EP],-1,D_D[LOC],$A14),0))</f>
        <v>104.48</v>
      </c>
      <c r="J14" s="159">
        <f ca="1">IF(ISNA($A14),"",IFERROR(SUMIFS(D_D[PROD_FYTD],D_D[MT],5,D_D[CAT],SMS, D_D[EP],-1,D_D[LOC],$A14),0))</f>
        <v>3736</v>
      </c>
      <c r="K14" s="161">
        <f ca="1">IF(ISNA($A14),"",IFERROR(SUMIFS(D_D[ADCF],D_D[MT],5,D_D[CAT],SMS, D_D[EP],-1,D_D[LOC],$A14),0))</f>
        <v>101.8</v>
      </c>
      <c r="L14" s="88">
        <f ca="1">IF(ISNA($A14),"",IFERROR(SUMIFS(D_D[INV],D_D[MT],8,D_D[CAT],SMS,D_D[LOC],$A14),0))</f>
        <v>0</v>
      </c>
      <c r="M14" s="88">
        <f ca="1">IF(ISNA($A14),"",IFERROR(SUMIFS(D_D[BL],D_D[MT],8,D_D[CAT],SMS,D_D[LOC],$A14),0))</f>
        <v>0</v>
      </c>
      <c r="N14" s="88">
        <f ca="1">IF(ISNA($A14),"",IFERROR(SUMIFS(D_D[ADP],D_D[MT],8,D_D[CAT],SMS,D_D[LOC],$A14),0))</f>
        <v>0</v>
      </c>
      <c r="O14" s="88">
        <f ca="1">IF(ISNA($A14),"",IFERROR(SUMIFS(D_D[PROD_MTD],D_D[MT],8,D_D[CAT],SMS,D_D[LOC],$A14),0))</f>
        <v>0</v>
      </c>
      <c r="P14" s="88">
        <f ca="1">IF(ISNA($A14),"",IFERROR(SUMIFS(D_D[PROD_FYTD],D_D[MT],8,D_D[CAT],SMS,D_D[LOC],$A14),0))</f>
        <v>0</v>
      </c>
      <c r="Q14" s="88">
        <f ca="1">IF(ISNA($A14),"",IFERROR(SUMIFS(D_D[ADCM],D_D[MT],8,D_D[CAT],SMS,D_D[LOC],$A14),0))</f>
        <v>0</v>
      </c>
      <c r="R14" s="6"/>
    </row>
    <row r="15" spans="1:18" ht="12.75" x14ac:dyDescent="0.2">
      <c r="A15" s="120" t="str">
        <f t="shared" ca="1" si="0"/>
        <v>301</v>
      </c>
      <c r="B15" s="23">
        <v>3</v>
      </c>
      <c r="C15" s="150" t="str">
        <f t="shared" ca="1" si="2"/>
        <v>Boston</v>
      </c>
      <c r="D15" s="159">
        <f ca="1">IF(ISNA($A15),"",IFERROR(SUMIFS(D_D[INV],D_D[MT],5,D_D[CAT],SMS, D_D[EP],-1,D_D[LOC],$A15),0))</f>
        <v>1106</v>
      </c>
      <c r="E15" s="159">
        <f ca="1">IF(ISNA($A15),"",IFERROR(SUMIFS(D_D[BL],D_D[MT],5,D_D[CAT],SMS, D_D[EP],-1,D_D[LOC],$A15),0))</f>
        <v>195</v>
      </c>
      <c r="F15" s="160">
        <f t="shared" ca="1" si="3"/>
        <v>0.1763110307414105</v>
      </c>
      <c r="G15" s="161">
        <f ca="1">IF(ISNA($A15),"",IFERROR(SUMIFS(D_D[ADP],D_D[MT],5,D_D[CAT],SMS, D_D[EP],-1,D_D[LOC],$A15),0))</f>
        <v>92.97</v>
      </c>
      <c r="H15" s="159">
        <f ca="1">IF(ISNA($A15),"",IFERROR(SUMIFS(D_D[PROD_MTD],D_D[MT],5,D_D[CAT],SMS, D_D[EP],-1,D_D[LOC],$A15),0))</f>
        <v>577</v>
      </c>
      <c r="I15" s="161">
        <f ca="1">IF(ISNA($A15),"",IFERROR(SUMIFS(D_D[ADCM],D_D[MT],5,D_D[CAT],SMS, D_D[EP],-1,D_D[LOC],$A15),0))</f>
        <v>125.97</v>
      </c>
      <c r="J15" s="159">
        <f ca="1">IF(ISNA($A15),"",IFERROR(SUMIFS(D_D[PROD_FYTD],D_D[MT],5,D_D[CAT],SMS, D_D[EP],-1,D_D[LOC],$A15),0))</f>
        <v>5246</v>
      </c>
      <c r="K15" s="161">
        <f ca="1">IF(ISNA($A15),"",IFERROR(SUMIFS(D_D[ADCF],D_D[MT],5,D_D[CAT],SMS, D_D[EP],-1,D_D[LOC],$A15),0))</f>
        <v>106.61</v>
      </c>
      <c r="L15" s="88">
        <f ca="1">IF(ISNA($A15),"",IFERROR(SUMIFS(D_D[INV],D_D[MT],8,D_D[CAT],SMS,D_D[LOC],$A15),0))</f>
        <v>0</v>
      </c>
      <c r="M15" s="88">
        <f ca="1">IF(ISNA($A15),"",IFERROR(SUMIFS(D_D[BL],D_D[MT],8,D_D[CAT],SMS,D_D[LOC],$A15),0))</f>
        <v>0</v>
      </c>
      <c r="N15" s="88">
        <f ca="1">IF(ISNA($A15),"",IFERROR(SUMIFS(D_D[ADP],D_D[MT],8,D_D[CAT],SMS,D_D[LOC],$A15),0))</f>
        <v>0</v>
      </c>
      <c r="O15" s="88">
        <f ca="1">IF(ISNA($A15),"",IFERROR(SUMIFS(D_D[PROD_MTD],D_D[MT],8,D_D[CAT],SMS,D_D[LOC],$A15),0))</f>
        <v>0</v>
      </c>
      <c r="P15" s="88">
        <f ca="1">IF(ISNA($A15),"",IFERROR(SUMIFS(D_D[PROD_FYTD],D_D[MT],8,D_D[CAT],SMS,D_D[LOC],$A15),0))</f>
        <v>0</v>
      </c>
      <c r="Q15" s="88">
        <f ca="1">IF(ISNA($A15),"",IFERROR(SUMIFS(D_D[ADCM],D_D[MT],8,D_D[CAT],SMS,D_D[LOC],$A15),0))</f>
        <v>0</v>
      </c>
      <c r="R15" s="6"/>
    </row>
    <row r="16" spans="1:18" ht="12.75" x14ac:dyDescent="0.2">
      <c r="A16" s="120" t="str">
        <f t="shared" ca="1" si="0"/>
        <v>307</v>
      </c>
      <c r="B16" s="23">
        <v>4</v>
      </c>
      <c r="C16" s="150" t="str">
        <f t="shared" ca="1" si="2"/>
        <v>Buffalo</v>
      </c>
      <c r="D16" s="159">
        <f ca="1">IF(ISNA($A16),"",IFERROR(SUMIFS(D_D[INV],D_D[MT],5,D_D[CAT],SMS, D_D[EP],-1,D_D[LOC],$A16),0))</f>
        <v>726</v>
      </c>
      <c r="E16" s="159">
        <f ca="1">IF(ISNA($A16),"",IFERROR(SUMIFS(D_D[BL],D_D[MT],5,D_D[CAT],SMS, D_D[EP],-1,D_D[LOC],$A16),0))</f>
        <v>40</v>
      </c>
      <c r="F16" s="160">
        <f t="shared" ca="1" si="3"/>
        <v>5.5096418732782371E-2</v>
      </c>
      <c r="G16" s="161">
        <f ca="1">IF(ISNA($A16),"",IFERROR(SUMIFS(D_D[ADP],D_D[MT],5,D_D[CAT],SMS, D_D[EP],-1,D_D[LOC],$A16),0))</f>
        <v>73.87</v>
      </c>
      <c r="H16" s="159">
        <f ca="1">IF(ISNA($A16),"",IFERROR(SUMIFS(D_D[PROD_MTD],D_D[MT],5,D_D[CAT],SMS, D_D[EP],-1,D_D[LOC],$A16),0))</f>
        <v>422</v>
      </c>
      <c r="I16" s="161">
        <f ca="1">IF(ISNA($A16),"",IFERROR(SUMIFS(D_D[ADCM],D_D[MT],5,D_D[CAT],SMS, D_D[EP],-1,D_D[LOC],$A16),0))</f>
        <v>94.58</v>
      </c>
      <c r="J16" s="159">
        <f ca="1">IF(ISNA($A16),"",IFERROR(SUMIFS(D_D[PROD_FYTD],D_D[MT],5,D_D[CAT],SMS, D_D[EP],-1,D_D[LOC],$A16),0))</f>
        <v>4350</v>
      </c>
      <c r="K16" s="161">
        <f ca="1">IF(ISNA($A16),"",IFERROR(SUMIFS(D_D[ADCF],D_D[MT],5,D_D[CAT],SMS, D_D[EP],-1,D_D[LOC],$A16),0))</f>
        <v>91.25</v>
      </c>
      <c r="L16" s="88">
        <f ca="1">IF(ISNA($A16),"",IFERROR(SUMIFS(D_D[INV],D_D[MT],8,D_D[CAT],SMS,D_D[LOC],$A16),0))</f>
        <v>0</v>
      </c>
      <c r="M16" s="88">
        <f ca="1">IF(ISNA($A16),"",IFERROR(SUMIFS(D_D[BL],D_D[MT],8,D_D[CAT],SMS,D_D[LOC],$A16),0))</f>
        <v>0</v>
      </c>
      <c r="N16" s="88">
        <f ca="1">IF(ISNA($A16),"",IFERROR(SUMIFS(D_D[ADP],D_D[MT],8,D_D[CAT],SMS,D_D[LOC],$A16),0))</f>
        <v>0</v>
      </c>
      <c r="O16" s="88">
        <f ca="1">IF(ISNA($A16),"",IFERROR(SUMIFS(D_D[PROD_MTD],D_D[MT],8,D_D[CAT],SMS,D_D[LOC],$A16),0))</f>
        <v>0</v>
      </c>
      <c r="P16" s="88">
        <f ca="1">IF(ISNA($A16),"",IFERROR(SUMIFS(D_D[PROD_FYTD],D_D[MT],8,D_D[CAT],SMS,D_D[LOC],$A16),0))</f>
        <v>0</v>
      </c>
      <c r="Q16" s="88">
        <f ca="1">IF(ISNA($A16),"",IFERROR(SUMIFS(D_D[ADCM],D_D[MT],8,D_D[CAT],SMS,D_D[LOC],$A16),0))</f>
        <v>0</v>
      </c>
      <c r="R16" s="6"/>
    </row>
    <row r="17" spans="1:18" ht="12.75" x14ac:dyDescent="0.2">
      <c r="A17" s="120" t="str">
        <f t="shared" ca="1" si="0"/>
        <v>328</v>
      </c>
      <c r="B17" s="23">
        <v>5</v>
      </c>
      <c r="C17" s="150" t="str">
        <f t="shared" ca="1" si="2"/>
        <v>Chicago</v>
      </c>
      <c r="D17" s="159">
        <f ca="1">IF(ISNA($A17),"",IFERROR(SUMIFS(D_D[INV],D_D[MT],5,D_D[CAT],SMS, D_D[EP],-1,D_D[LOC],$A17),0))</f>
        <v>1062</v>
      </c>
      <c r="E17" s="159">
        <f ca="1">IF(ISNA($A17),"",IFERROR(SUMIFS(D_D[BL],D_D[MT],5,D_D[CAT],SMS, D_D[EP],-1,D_D[LOC],$A17),0))</f>
        <v>116</v>
      </c>
      <c r="F17" s="160">
        <f t="shared" ca="1" si="3"/>
        <v>0.10922787193973635</v>
      </c>
      <c r="G17" s="161">
        <f ca="1">IF(ISNA($A17),"",IFERROR(SUMIFS(D_D[ADP],D_D[MT],5,D_D[CAT],SMS, D_D[EP],-1,D_D[LOC],$A17),0))</f>
        <v>83.14</v>
      </c>
      <c r="H17" s="159">
        <f ca="1">IF(ISNA($A17),"",IFERROR(SUMIFS(D_D[PROD_MTD],D_D[MT],5,D_D[CAT],SMS, D_D[EP],-1,D_D[LOC],$A17),0))</f>
        <v>434</v>
      </c>
      <c r="I17" s="161">
        <f ca="1">IF(ISNA($A17),"",IFERROR(SUMIFS(D_D[ADCM],D_D[MT],5,D_D[CAT],SMS, D_D[EP],-1,D_D[LOC],$A17),0))</f>
        <v>96.87</v>
      </c>
      <c r="J17" s="159">
        <f ca="1">IF(ISNA($A17),"",IFERROR(SUMIFS(D_D[PROD_FYTD],D_D[MT],5,D_D[CAT],SMS, D_D[EP],-1,D_D[LOC],$A17),0))</f>
        <v>4568</v>
      </c>
      <c r="K17" s="161">
        <f ca="1">IF(ISNA($A17),"",IFERROR(SUMIFS(D_D[ADCF],D_D[MT],5,D_D[CAT],SMS, D_D[EP],-1,D_D[LOC],$A17),0))</f>
        <v>92.83</v>
      </c>
      <c r="L17" s="88">
        <f ca="1">IF(ISNA($A17),"",IFERROR(SUMIFS(D_D[INV],D_D[MT],8,D_D[CAT],SMS,D_D[LOC],$A17),0))</f>
        <v>0</v>
      </c>
      <c r="M17" s="88">
        <f ca="1">IF(ISNA($A17),"",IFERROR(SUMIFS(D_D[BL],D_D[MT],8,D_D[CAT],SMS,D_D[LOC],$A17),0))</f>
        <v>0</v>
      </c>
      <c r="N17" s="88">
        <f ca="1">IF(ISNA($A17),"",IFERROR(SUMIFS(D_D[ADP],D_D[MT],8,D_D[CAT],SMS,D_D[LOC],$A17),0))</f>
        <v>0</v>
      </c>
      <c r="O17" s="88">
        <f ca="1">IF(ISNA($A17),"",IFERROR(SUMIFS(D_D[PROD_MTD],D_D[MT],8,D_D[CAT],SMS,D_D[LOC],$A17),0))</f>
        <v>0</v>
      </c>
      <c r="P17" s="88">
        <f ca="1">IF(ISNA($A17),"",IFERROR(SUMIFS(D_D[PROD_FYTD],D_D[MT],8,D_D[CAT],SMS,D_D[LOC],$A17),0))</f>
        <v>0</v>
      </c>
      <c r="Q17" s="88">
        <f ca="1">IF(ISNA($A17),"",IFERROR(SUMIFS(D_D[ADCM],D_D[MT],8,D_D[CAT],SMS,D_D[LOC],$A17),0))</f>
        <v>0</v>
      </c>
      <c r="R17" s="6"/>
    </row>
    <row r="18" spans="1:18" ht="12.75" x14ac:dyDescent="0.2">
      <c r="A18" s="120" t="str">
        <f t="shared" ca="1" si="0"/>
        <v>325</v>
      </c>
      <c r="B18" s="23">
        <v>6</v>
      </c>
      <c r="C18" s="150" t="str">
        <f t="shared" ca="1" si="2"/>
        <v>Cleveland</v>
      </c>
      <c r="D18" s="159">
        <f ca="1">IF(ISNA($A18),"",IFERROR(SUMIFS(D_D[INV],D_D[MT],5,D_D[CAT],SMS, D_D[EP],-1,D_D[LOC],$A18),0))</f>
        <v>2780</v>
      </c>
      <c r="E18" s="159">
        <f ca="1">IF(ISNA($A18),"",IFERROR(SUMIFS(D_D[BL],D_D[MT],5,D_D[CAT],SMS, D_D[EP],-1,D_D[LOC],$A18),0))</f>
        <v>816</v>
      </c>
      <c r="F18" s="160">
        <f t="shared" ca="1" si="3"/>
        <v>0.29352517985611509</v>
      </c>
      <c r="G18" s="161">
        <f ca="1">IF(ISNA($A18),"",IFERROR(SUMIFS(D_D[ADP],D_D[MT],5,D_D[CAT],SMS, D_D[EP],-1,D_D[LOC],$A18),0))</f>
        <v>104.28</v>
      </c>
      <c r="H18" s="159">
        <f ca="1">IF(ISNA($A18),"",IFERROR(SUMIFS(D_D[PROD_MTD],D_D[MT],5,D_D[CAT],SMS, D_D[EP],-1,D_D[LOC],$A18),0))</f>
        <v>1254</v>
      </c>
      <c r="I18" s="161">
        <f ca="1">IF(ISNA($A18),"",IFERROR(SUMIFS(D_D[ADCM],D_D[MT],5,D_D[CAT],SMS, D_D[EP],-1,D_D[LOC],$A18),0))</f>
        <v>140.31</v>
      </c>
      <c r="J18" s="159">
        <f ca="1">IF(ISNA($A18),"",IFERROR(SUMIFS(D_D[PROD_FYTD],D_D[MT],5,D_D[CAT],SMS, D_D[EP],-1,D_D[LOC],$A18),0))</f>
        <v>12212</v>
      </c>
      <c r="K18" s="161">
        <f ca="1">IF(ISNA($A18),"",IFERROR(SUMIFS(D_D[ADCF],D_D[MT],5,D_D[CAT],SMS, D_D[EP],-1,D_D[LOC],$A18),0))</f>
        <v>126.05</v>
      </c>
      <c r="L18" s="88">
        <f ca="1">IF(ISNA($A18),"",IFERROR(SUMIFS(D_D[INV],D_D[MT],8,D_D[CAT],SMS,D_D[LOC],$A18),0))</f>
        <v>0</v>
      </c>
      <c r="M18" s="88">
        <f ca="1">IF(ISNA($A18),"",IFERROR(SUMIFS(D_D[BL],D_D[MT],8,D_D[CAT],SMS,D_D[LOC],$A18),0))</f>
        <v>0</v>
      </c>
      <c r="N18" s="88">
        <f ca="1">IF(ISNA($A18),"",IFERROR(SUMIFS(D_D[ADP],D_D[MT],8,D_D[CAT],SMS,D_D[LOC],$A18),0))</f>
        <v>0</v>
      </c>
      <c r="O18" s="88">
        <f ca="1">IF(ISNA($A18),"",IFERROR(SUMIFS(D_D[PROD_MTD],D_D[MT],8,D_D[CAT],SMS,D_D[LOC],$A18),0))</f>
        <v>0</v>
      </c>
      <c r="P18" s="88">
        <f ca="1">IF(ISNA($A18),"",IFERROR(SUMIFS(D_D[PROD_FYTD],D_D[MT],8,D_D[CAT],SMS,D_D[LOC],$A18),0))</f>
        <v>0</v>
      </c>
      <c r="Q18" s="88">
        <f ca="1">IF(ISNA($A18),"",IFERROR(SUMIFS(D_D[ADCM],D_D[MT],8,D_D[CAT],SMS,D_D[LOC],$A18),0))</f>
        <v>0</v>
      </c>
      <c r="R18" s="6"/>
    </row>
    <row r="19" spans="1:18" ht="12.75" x14ac:dyDescent="0.2">
      <c r="A19" s="120" t="str">
        <f t="shared" ca="1" si="0"/>
        <v>329</v>
      </c>
      <c r="B19" s="23">
        <v>7</v>
      </c>
      <c r="C19" s="150" t="str">
        <f t="shared" ca="1" si="2"/>
        <v>Detroit</v>
      </c>
      <c r="D19" s="159">
        <f ca="1">IF(ISNA($A19),"",IFERROR(SUMIFS(D_D[INV],D_D[MT],5,D_D[CAT],SMS, D_D[EP],-1,D_D[LOC],$A19),0))</f>
        <v>1470</v>
      </c>
      <c r="E19" s="159">
        <f ca="1">IF(ISNA($A19),"",IFERROR(SUMIFS(D_D[BL],D_D[MT],5,D_D[CAT],SMS, D_D[EP],-1,D_D[LOC],$A19),0))</f>
        <v>384</v>
      </c>
      <c r="F19" s="160">
        <f t="shared" ca="1" si="3"/>
        <v>0.26122448979591839</v>
      </c>
      <c r="G19" s="161">
        <f ca="1">IF(ISNA($A19),"",IFERROR(SUMIFS(D_D[ADP],D_D[MT],5,D_D[CAT],SMS, D_D[EP],-1,D_D[LOC],$A19),0))</f>
        <v>106.65</v>
      </c>
      <c r="H19" s="159">
        <f ca="1">IF(ISNA($A19),"",IFERROR(SUMIFS(D_D[PROD_MTD],D_D[MT],5,D_D[CAT],SMS, D_D[EP],-1,D_D[LOC],$A19),0))</f>
        <v>787</v>
      </c>
      <c r="I19" s="161">
        <f ca="1">IF(ISNA($A19),"",IFERROR(SUMIFS(D_D[ADCM],D_D[MT],5,D_D[CAT],SMS, D_D[EP],-1,D_D[LOC],$A19),0))</f>
        <v>126.29</v>
      </c>
      <c r="J19" s="159">
        <f ca="1">IF(ISNA($A19),"",IFERROR(SUMIFS(D_D[PROD_FYTD],D_D[MT],5,D_D[CAT],SMS, D_D[EP],-1,D_D[LOC],$A19),0))</f>
        <v>8773</v>
      </c>
      <c r="K19" s="161">
        <f ca="1">IF(ISNA($A19),"",IFERROR(SUMIFS(D_D[ADCF],D_D[MT],5,D_D[CAT],SMS, D_D[EP],-1,D_D[LOC],$A19),0))</f>
        <v>119.74</v>
      </c>
      <c r="L19" s="88">
        <f ca="1">IF(ISNA($A19),"",IFERROR(SUMIFS(D_D[INV],D_D[MT],8,D_D[CAT],SMS,D_D[LOC],$A19),0))</f>
        <v>0</v>
      </c>
      <c r="M19" s="88">
        <f ca="1">IF(ISNA($A19),"",IFERROR(SUMIFS(D_D[BL],D_D[MT],8,D_D[CAT],SMS,D_D[LOC],$A19),0))</f>
        <v>0</v>
      </c>
      <c r="N19" s="88">
        <f ca="1">IF(ISNA($A19),"",IFERROR(SUMIFS(D_D[ADP],D_D[MT],8,D_D[CAT],SMS,D_D[LOC],$A19),0))</f>
        <v>0</v>
      </c>
      <c r="O19" s="88">
        <f ca="1">IF(ISNA($A19),"",IFERROR(SUMIFS(D_D[PROD_MTD],D_D[MT],8,D_D[CAT],SMS,D_D[LOC],$A19),0))</f>
        <v>0</v>
      </c>
      <c r="P19" s="88">
        <f ca="1">IF(ISNA($A19),"",IFERROR(SUMIFS(D_D[PROD_FYTD],D_D[MT],8,D_D[CAT],SMS,D_D[LOC],$A19),0))</f>
        <v>0</v>
      </c>
      <c r="Q19" s="88">
        <f ca="1">IF(ISNA($A19),"",IFERROR(SUMIFS(D_D[ADCM],D_D[MT],8,D_D[CAT],SMS,D_D[LOC],$A19),0))</f>
        <v>0</v>
      </c>
      <c r="R19" s="6"/>
    </row>
    <row r="20" spans="1:18" ht="12.75" x14ac:dyDescent="0.2">
      <c r="A20" s="120" t="str">
        <f t="shared" ca="1" si="0"/>
        <v>308</v>
      </c>
      <c r="B20" s="23">
        <v>8</v>
      </c>
      <c r="C20" s="150" t="str">
        <f t="shared" ca="1" si="2"/>
        <v>Hartford</v>
      </c>
      <c r="D20" s="159">
        <f ca="1">IF(ISNA($A20),"",IFERROR(SUMIFS(D_D[INV],D_D[MT],5,D_D[CAT],SMS, D_D[EP],-1,D_D[LOC],$A20),0))</f>
        <v>806</v>
      </c>
      <c r="E20" s="159">
        <f ca="1">IF(ISNA($A20),"",IFERROR(SUMIFS(D_D[BL],D_D[MT],5,D_D[CAT],SMS, D_D[EP],-1,D_D[LOC],$A20),0))</f>
        <v>23</v>
      </c>
      <c r="F20" s="160">
        <f t="shared" ca="1" si="3"/>
        <v>2.8535980148883373E-2</v>
      </c>
      <c r="G20" s="161">
        <f ca="1">IF(ISNA($A20),"",IFERROR(SUMIFS(D_D[ADP],D_D[MT],5,D_D[CAT],SMS, D_D[EP],-1,D_D[LOC],$A20),0))</f>
        <v>67.75</v>
      </c>
      <c r="H20" s="159">
        <f ca="1">IF(ISNA($A20),"",IFERROR(SUMIFS(D_D[PROD_MTD],D_D[MT],5,D_D[CAT],SMS, D_D[EP],-1,D_D[LOC],$A20),0))</f>
        <v>443</v>
      </c>
      <c r="I20" s="161">
        <f ca="1">IF(ISNA($A20),"",IFERROR(SUMIFS(D_D[ADCM],D_D[MT],5,D_D[CAT],SMS, D_D[EP],-1,D_D[LOC],$A20),0))</f>
        <v>84.09</v>
      </c>
      <c r="J20" s="159">
        <f ca="1">IF(ISNA($A20),"",IFERROR(SUMIFS(D_D[PROD_FYTD],D_D[MT],5,D_D[CAT],SMS, D_D[EP],-1,D_D[LOC],$A20),0))</f>
        <v>4655</v>
      </c>
      <c r="K20" s="161">
        <f ca="1">IF(ISNA($A20),"",IFERROR(SUMIFS(D_D[ADCF],D_D[MT],5,D_D[CAT],SMS, D_D[EP],-1,D_D[LOC],$A20),0))</f>
        <v>88.42</v>
      </c>
      <c r="L20" s="88">
        <f ca="1">IF(ISNA($A20),"",IFERROR(SUMIFS(D_D[INV],D_D[MT],8,D_D[CAT],SMS,D_D[LOC],$A20),0))</f>
        <v>0</v>
      </c>
      <c r="M20" s="88">
        <f ca="1">IF(ISNA($A20),"",IFERROR(SUMIFS(D_D[BL],D_D[MT],8,D_D[CAT],SMS,D_D[LOC],$A20),0))</f>
        <v>0</v>
      </c>
      <c r="N20" s="88">
        <f ca="1">IF(ISNA($A20),"",IFERROR(SUMIFS(D_D[ADP],D_D[MT],8,D_D[CAT],SMS,D_D[LOC],$A20),0))</f>
        <v>0</v>
      </c>
      <c r="O20" s="88">
        <f ca="1">IF(ISNA($A20),"",IFERROR(SUMIFS(D_D[PROD_MTD],D_D[MT],8,D_D[CAT],SMS,D_D[LOC],$A20),0))</f>
        <v>0</v>
      </c>
      <c r="P20" s="88">
        <f ca="1">IF(ISNA($A20),"",IFERROR(SUMIFS(D_D[PROD_FYTD],D_D[MT],8,D_D[CAT],SMS,D_D[LOC],$A20),0))</f>
        <v>0</v>
      </c>
      <c r="Q20" s="88">
        <f ca="1">IF(ISNA($A20),"",IFERROR(SUMIFS(D_D[ADCM],D_D[MT],8,D_D[CAT],SMS,D_D[LOC],$A20),0))</f>
        <v>0</v>
      </c>
      <c r="R20" s="6"/>
    </row>
    <row r="21" spans="1:18" ht="12.75" x14ac:dyDescent="0.2">
      <c r="A21" s="120" t="str">
        <f t="shared" ca="1" si="0"/>
        <v>326</v>
      </c>
      <c r="B21" s="23">
        <v>9</v>
      </c>
      <c r="C21" s="150" t="str">
        <f t="shared" ca="1" si="2"/>
        <v>Indianapolis</v>
      </c>
      <c r="D21" s="159">
        <f ca="1">IF(ISNA($A21),"",IFERROR(SUMIFS(D_D[INV],D_D[MT],5,D_D[CAT],SMS, D_D[EP],-1,D_D[LOC],$A21),0))</f>
        <v>1291</v>
      </c>
      <c r="E21" s="159">
        <f ca="1">IF(ISNA($A21),"",IFERROR(SUMIFS(D_D[BL],D_D[MT],5,D_D[CAT],SMS, D_D[EP],-1,D_D[LOC],$A21),0))</f>
        <v>343</v>
      </c>
      <c r="F21" s="160">
        <f t="shared" ca="1" si="3"/>
        <v>0.26568551510457011</v>
      </c>
      <c r="G21" s="161">
        <f ca="1">IF(ISNA($A21),"",IFERROR(SUMIFS(D_D[ADP],D_D[MT],5,D_D[CAT],SMS, D_D[EP],-1,D_D[LOC],$A21),0))</f>
        <v>98.75</v>
      </c>
      <c r="H21" s="159">
        <f ca="1">IF(ISNA($A21),"",IFERROR(SUMIFS(D_D[PROD_MTD],D_D[MT],5,D_D[CAT],SMS, D_D[EP],-1,D_D[LOC],$A21),0))</f>
        <v>904</v>
      </c>
      <c r="I21" s="161">
        <f ca="1">IF(ISNA($A21),"",IFERROR(SUMIFS(D_D[ADCM],D_D[MT],5,D_D[CAT],SMS, D_D[EP],-1,D_D[LOC],$A21),0))</f>
        <v>128.15</v>
      </c>
      <c r="J21" s="159">
        <f ca="1">IF(ISNA($A21),"",IFERROR(SUMIFS(D_D[PROD_FYTD],D_D[MT],5,D_D[CAT],SMS, D_D[EP],-1,D_D[LOC],$A21),0))</f>
        <v>9008</v>
      </c>
      <c r="K21" s="161">
        <f ca="1">IF(ISNA($A21),"",IFERROR(SUMIFS(D_D[ADCF],D_D[MT],5,D_D[CAT],SMS, D_D[EP],-1,D_D[LOC],$A21),0))</f>
        <v>126</v>
      </c>
      <c r="L21" s="88">
        <f ca="1">IF(ISNA($A21),"",IFERROR(SUMIFS(D_D[INV],D_D[MT],8,D_D[CAT],SMS,D_D[LOC],$A21),0))</f>
        <v>0</v>
      </c>
      <c r="M21" s="88">
        <f ca="1">IF(ISNA($A21),"",IFERROR(SUMIFS(D_D[BL],D_D[MT],8,D_D[CAT],SMS,D_D[LOC],$A21),0))</f>
        <v>0</v>
      </c>
      <c r="N21" s="88">
        <f ca="1">IF(ISNA($A21),"",IFERROR(SUMIFS(D_D[ADP],D_D[MT],8,D_D[CAT],SMS,D_D[LOC],$A21),0))</f>
        <v>0</v>
      </c>
      <c r="O21" s="88">
        <f ca="1">IF(ISNA($A21),"",IFERROR(SUMIFS(D_D[PROD_MTD],D_D[MT],8,D_D[CAT],SMS,D_D[LOC],$A21),0))</f>
        <v>0</v>
      </c>
      <c r="P21" s="88">
        <f ca="1">IF(ISNA($A21),"",IFERROR(SUMIFS(D_D[PROD_FYTD],D_D[MT],8,D_D[CAT],SMS,D_D[LOC],$A21),0))</f>
        <v>0</v>
      </c>
      <c r="Q21" s="88">
        <f ca="1">IF(ISNA($A21),"",IFERROR(SUMIFS(D_D[ADCM],D_D[MT],8,D_D[CAT],SMS,D_D[LOC],$A21),0))</f>
        <v>0</v>
      </c>
      <c r="R21" s="6"/>
    </row>
    <row r="22" spans="1:18" ht="12.75" x14ac:dyDescent="0.2">
      <c r="A22" s="120" t="str">
        <f t="shared" ca="1" si="0"/>
        <v>373</v>
      </c>
      <c r="B22" s="23">
        <v>10</v>
      </c>
      <c r="C22" s="150" t="str">
        <f t="shared" ca="1" si="2"/>
        <v>Manchester</v>
      </c>
      <c r="D22" s="159">
        <f ca="1">IF(ISNA($A22),"",IFERROR(SUMIFS(D_D[INV],D_D[MT],5,D_D[CAT],SMS, D_D[EP],-1,D_D[LOC],$A22),0))</f>
        <v>390</v>
      </c>
      <c r="E22" s="159">
        <f ca="1">IF(ISNA($A22),"",IFERROR(SUMIFS(D_D[BL],D_D[MT],5,D_D[CAT],SMS, D_D[EP],-1,D_D[LOC],$A22),0))</f>
        <v>9</v>
      </c>
      <c r="F22" s="160">
        <f t="shared" ca="1" si="3"/>
        <v>2.3076923076923078E-2</v>
      </c>
      <c r="G22" s="161">
        <f ca="1">IF(ISNA($A22),"",IFERROR(SUMIFS(D_D[ADP],D_D[MT],5,D_D[CAT],SMS, D_D[EP],-1,D_D[LOC],$A22),0))</f>
        <v>77.45</v>
      </c>
      <c r="H22" s="159">
        <f ca="1">IF(ISNA($A22),"",IFERROR(SUMIFS(D_D[PROD_MTD],D_D[MT],5,D_D[CAT],SMS, D_D[EP],-1,D_D[LOC],$A22),0))</f>
        <v>197</v>
      </c>
      <c r="I22" s="161">
        <f ca="1">IF(ISNA($A22),"",IFERROR(SUMIFS(D_D[ADCM],D_D[MT],5,D_D[CAT],SMS, D_D[EP],-1,D_D[LOC],$A22),0))</f>
        <v>87.08</v>
      </c>
      <c r="J22" s="159">
        <f ca="1">IF(ISNA($A22),"",IFERROR(SUMIFS(D_D[PROD_FYTD],D_D[MT],5,D_D[CAT],SMS, D_D[EP],-1,D_D[LOC],$A22),0))</f>
        <v>2047</v>
      </c>
      <c r="K22" s="161">
        <f ca="1">IF(ISNA($A22),"",IFERROR(SUMIFS(D_D[ADCF],D_D[MT],5,D_D[CAT],SMS, D_D[EP],-1,D_D[LOC],$A22),0))</f>
        <v>82.62</v>
      </c>
      <c r="L22" s="88">
        <f ca="1">IF(ISNA($A22),"",IFERROR(SUMIFS(D_D[INV],D_D[MT],8,D_D[CAT],SMS,D_D[LOC],$A22),0))</f>
        <v>0</v>
      </c>
      <c r="M22" s="88">
        <f ca="1">IF(ISNA($A22),"",IFERROR(SUMIFS(D_D[BL],D_D[MT],8,D_D[CAT],SMS,D_D[LOC],$A22),0))</f>
        <v>0</v>
      </c>
      <c r="N22" s="88">
        <f ca="1">IF(ISNA($A22),"",IFERROR(SUMIFS(D_D[ADP],D_D[MT],8,D_D[CAT],SMS,D_D[LOC],$A22),0))</f>
        <v>0</v>
      </c>
      <c r="O22" s="88">
        <f ca="1">IF(ISNA($A22),"",IFERROR(SUMIFS(D_D[PROD_MTD],D_D[MT],8,D_D[CAT],SMS,D_D[LOC],$A22),0))</f>
        <v>0</v>
      </c>
      <c r="P22" s="88">
        <f ca="1">IF(ISNA($A22),"",IFERROR(SUMIFS(D_D[PROD_FYTD],D_D[MT],8,D_D[CAT],SMS,D_D[LOC],$A22),0))</f>
        <v>0</v>
      </c>
      <c r="Q22" s="88">
        <f ca="1">IF(ISNA($A22),"",IFERROR(SUMIFS(D_D[ADCM],D_D[MT],8,D_D[CAT],SMS,D_D[LOC],$A22),0))</f>
        <v>0</v>
      </c>
      <c r="R22" s="6"/>
    </row>
    <row r="23" spans="1:18" ht="12.75" x14ac:dyDescent="0.2">
      <c r="A23" s="120" t="str">
        <f t="shared" ca="1" si="0"/>
        <v>330</v>
      </c>
      <c r="B23" s="23">
        <v>11</v>
      </c>
      <c r="C23" s="150" t="str">
        <f t="shared" ca="1" si="2"/>
        <v>Milwaukee</v>
      </c>
      <c r="D23" s="159">
        <f ca="1">IF(ISNA($A23),"",IFERROR(SUMIFS(D_D[INV],D_D[MT],5,D_D[CAT],SMS, D_D[EP],-1,D_D[LOC],$A23),0))</f>
        <v>3695</v>
      </c>
      <c r="E23" s="159">
        <f ca="1">IF(ISNA($A23),"",IFERROR(SUMIFS(D_D[BL],D_D[MT],5,D_D[CAT],SMS, D_D[EP],-1,D_D[LOC],$A23),0))</f>
        <v>1455</v>
      </c>
      <c r="F23" s="160">
        <f t="shared" ca="1" si="3"/>
        <v>0.39377537212449254</v>
      </c>
      <c r="G23" s="161">
        <f ca="1">IF(ISNA($A23),"",IFERROR(SUMIFS(D_D[ADP],D_D[MT],5,D_D[CAT],SMS, D_D[EP],-1,D_D[LOC],$A23),0))</f>
        <v>116.91</v>
      </c>
      <c r="H23" s="159">
        <f ca="1">IF(ISNA($A23),"",IFERROR(SUMIFS(D_D[PROD_MTD],D_D[MT],5,D_D[CAT],SMS, D_D[EP],-1,D_D[LOC],$A23),0))</f>
        <v>1921</v>
      </c>
      <c r="I23" s="161">
        <f ca="1">IF(ISNA($A23),"",IFERROR(SUMIFS(D_D[ADCM],D_D[MT],5,D_D[CAT],SMS, D_D[EP],-1,D_D[LOC],$A23),0))</f>
        <v>131.28</v>
      </c>
      <c r="J23" s="159">
        <f ca="1">IF(ISNA($A23),"",IFERROR(SUMIFS(D_D[PROD_FYTD],D_D[MT],5,D_D[CAT],SMS, D_D[EP],-1,D_D[LOC],$A23),0))</f>
        <v>21612</v>
      </c>
      <c r="K23" s="161">
        <f ca="1">IF(ISNA($A23),"",IFERROR(SUMIFS(D_D[ADCF],D_D[MT],5,D_D[CAT],SMS, D_D[EP],-1,D_D[LOC],$A23),0))</f>
        <v>96.68</v>
      </c>
      <c r="L23" s="88">
        <f ca="1">IF(ISNA($A23),"",IFERROR(SUMIFS(D_D[INV],D_D[MT],8,D_D[CAT],SMS,D_D[LOC],$A23),0))</f>
        <v>0</v>
      </c>
      <c r="M23" s="88">
        <f ca="1">IF(ISNA($A23),"",IFERROR(SUMIFS(D_D[BL],D_D[MT],8,D_D[CAT],SMS,D_D[LOC],$A23),0))</f>
        <v>0</v>
      </c>
      <c r="N23" s="88">
        <f ca="1">IF(ISNA($A23),"",IFERROR(SUMIFS(D_D[ADP],D_D[MT],8,D_D[CAT],SMS,D_D[LOC],$A23),0))</f>
        <v>0</v>
      </c>
      <c r="O23" s="88">
        <f ca="1">IF(ISNA($A23),"",IFERROR(SUMIFS(D_D[PROD_MTD],D_D[MT],8,D_D[CAT],SMS,D_D[LOC],$A23),0))</f>
        <v>0</v>
      </c>
      <c r="P23" s="88">
        <f ca="1">IF(ISNA($A23),"",IFERROR(SUMIFS(D_D[PROD_FYTD],D_D[MT],8,D_D[CAT],SMS,D_D[LOC],$A23),0))</f>
        <v>0</v>
      </c>
      <c r="Q23" s="88">
        <f ca="1">IF(ISNA($A23),"",IFERROR(SUMIFS(D_D[ADCM],D_D[MT],8,D_D[CAT],SMS,D_D[LOC],$A23),0))</f>
        <v>0</v>
      </c>
      <c r="R23" s="6"/>
    </row>
    <row r="24" spans="1:18" ht="12.75" x14ac:dyDescent="0.2">
      <c r="A24" s="120" t="str">
        <f t="shared" ca="1" si="0"/>
        <v>306</v>
      </c>
      <c r="B24" s="23">
        <v>12</v>
      </c>
      <c r="C24" s="150" t="str">
        <f t="shared" ca="1" si="2"/>
        <v>New York</v>
      </c>
      <c r="D24" s="159">
        <f ca="1">IF(ISNA($A24),"",IFERROR(SUMIFS(D_D[INV],D_D[MT],5,D_D[CAT],SMS, D_D[EP],-1,D_D[LOC],$A24),0))</f>
        <v>917</v>
      </c>
      <c r="E24" s="159">
        <f ca="1">IF(ISNA($A24),"",IFERROR(SUMIFS(D_D[BL],D_D[MT],5,D_D[CAT],SMS, D_D[EP],-1,D_D[LOC],$A24),0))</f>
        <v>246</v>
      </c>
      <c r="F24" s="160">
        <f t="shared" ca="1" si="3"/>
        <v>0.26826608505997818</v>
      </c>
      <c r="G24" s="161">
        <f ca="1">IF(ISNA($A24),"",IFERROR(SUMIFS(D_D[ADP],D_D[MT],5,D_D[CAT],SMS, D_D[EP],-1,D_D[LOC],$A24),0))</f>
        <v>111.44</v>
      </c>
      <c r="H24" s="159">
        <f ca="1">IF(ISNA($A24),"",IFERROR(SUMIFS(D_D[PROD_MTD],D_D[MT],5,D_D[CAT],SMS, D_D[EP],-1,D_D[LOC],$A24),0))</f>
        <v>620</v>
      </c>
      <c r="I24" s="161">
        <f ca="1">IF(ISNA($A24),"",IFERROR(SUMIFS(D_D[ADCM],D_D[MT],5,D_D[CAT],SMS, D_D[EP],-1,D_D[LOC],$A24),0))</f>
        <v>132.77000000000001</v>
      </c>
      <c r="J24" s="159">
        <f ca="1">IF(ISNA($A24),"",IFERROR(SUMIFS(D_D[PROD_FYTD],D_D[MT],5,D_D[CAT],SMS, D_D[EP],-1,D_D[LOC],$A24),0))</f>
        <v>6035</v>
      </c>
      <c r="K24" s="161">
        <f ca="1">IF(ISNA($A24),"",IFERROR(SUMIFS(D_D[ADCF],D_D[MT],5,D_D[CAT],SMS, D_D[EP],-1,D_D[LOC],$A24),0))</f>
        <v>100.82</v>
      </c>
      <c r="L24" s="88">
        <f ca="1">IF(ISNA($A24),"",IFERROR(SUMIFS(D_D[INV],D_D[MT],8,D_D[CAT],SMS,D_D[LOC],$A24),0))</f>
        <v>0</v>
      </c>
      <c r="M24" s="88">
        <f ca="1">IF(ISNA($A24),"",IFERROR(SUMIFS(D_D[BL],D_D[MT],8,D_D[CAT],SMS,D_D[LOC],$A24),0))</f>
        <v>0</v>
      </c>
      <c r="N24" s="88">
        <f ca="1">IF(ISNA($A24),"",IFERROR(SUMIFS(D_D[ADP],D_D[MT],8,D_D[CAT],SMS,D_D[LOC],$A24),0))</f>
        <v>0</v>
      </c>
      <c r="O24" s="88">
        <f ca="1">IF(ISNA($A24),"",IFERROR(SUMIFS(D_D[PROD_MTD],D_D[MT],8,D_D[CAT],SMS,D_D[LOC],$A24),0))</f>
        <v>0</v>
      </c>
      <c r="P24" s="88">
        <f ca="1">IF(ISNA($A24),"",IFERROR(SUMIFS(D_D[PROD_FYTD],D_D[MT],8,D_D[CAT],SMS,D_D[LOC],$A24),0))</f>
        <v>0</v>
      </c>
      <c r="Q24" s="88">
        <f ca="1">IF(ISNA($A24),"",IFERROR(SUMIFS(D_D[ADCM],D_D[MT],8,D_D[CAT],SMS,D_D[LOC],$A24),0))</f>
        <v>0</v>
      </c>
      <c r="R24" s="6"/>
    </row>
    <row r="25" spans="1:18" ht="12.75" x14ac:dyDescent="0.2">
      <c r="A25" s="120" t="str">
        <f t="shared" ca="1" si="0"/>
        <v>309</v>
      </c>
      <c r="B25" s="23">
        <v>13</v>
      </c>
      <c r="C25" s="150" t="str">
        <f t="shared" ca="1" si="2"/>
        <v>Newark</v>
      </c>
      <c r="D25" s="159">
        <f ca="1">IF(ISNA($A25),"",IFERROR(SUMIFS(D_D[INV],D_D[MT],5,D_D[CAT],SMS, D_D[EP],-1,D_D[LOC],$A25),0))</f>
        <v>329</v>
      </c>
      <c r="E25" s="159">
        <f ca="1">IF(ISNA($A25),"",IFERROR(SUMIFS(D_D[BL],D_D[MT],5,D_D[CAT],SMS, D_D[EP],-1,D_D[LOC],$A25),0))</f>
        <v>14</v>
      </c>
      <c r="F25" s="160">
        <f t="shared" ca="1" si="3"/>
        <v>4.2553191489361701E-2</v>
      </c>
      <c r="G25" s="161">
        <f ca="1">IF(ISNA($A25),"",IFERROR(SUMIFS(D_D[ADP],D_D[MT],5,D_D[CAT],SMS, D_D[EP],-1,D_D[LOC],$A25),0))</f>
        <v>69.739999999999995</v>
      </c>
      <c r="H25" s="159">
        <f ca="1">IF(ISNA($A25),"",IFERROR(SUMIFS(D_D[PROD_MTD],D_D[MT],5,D_D[CAT],SMS, D_D[EP],-1,D_D[LOC],$A25),0))</f>
        <v>258</v>
      </c>
      <c r="I25" s="161">
        <f ca="1">IF(ISNA($A25),"",IFERROR(SUMIFS(D_D[ADCM],D_D[MT],5,D_D[CAT],SMS, D_D[EP],-1,D_D[LOC],$A25),0))</f>
        <v>93.59</v>
      </c>
      <c r="J25" s="159">
        <f ca="1">IF(ISNA($A25),"",IFERROR(SUMIFS(D_D[PROD_FYTD],D_D[MT],5,D_D[CAT],SMS, D_D[EP],-1,D_D[LOC],$A25),0))</f>
        <v>2655</v>
      </c>
      <c r="K25" s="161">
        <f ca="1">IF(ISNA($A25),"",IFERROR(SUMIFS(D_D[ADCF],D_D[MT],5,D_D[CAT],SMS, D_D[EP],-1,D_D[LOC],$A25),0))</f>
        <v>85.85</v>
      </c>
      <c r="L25" s="88">
        <f ca="1">IF(ISNA($A25),"",IFERROR(SUMIFS(D_D[INV],D_D[MT],8,D_D[CAT],SMS,D_D[LOC],$A25),0))</f>
        <v>0</v>
      </c>
      <c r="M25" s="88">
        <f ca="1">IF(ISNA($A25),"",IFERROR(SUMIFS(D_D[BL],D_D[MT],8,D_D[CAT],SMS,D_D[LOC],$A25),0))</f>
        <v>0</v>
      </c>
      <c r="N25" s="88">
        <f ca="1">IF(ISNA($A25),"",IFERROR(SUMIFS(D_D[ADP],D_D[MT],8,D_D[CAT],SMS,D_D[LOC],$A25),0))</f>
        <v>0</v>
      </c>
      <c r="O25" s="88">
        <f ca="1">IF(ISNA($A25),"",IFERROR(SUMIFS(D_D[PROD_MTD],D_D[MT],8,D_D[CAT],SMS,D_D[LOC],$A25),0))</f>
        <v>0</v>
      </c>
      <c r="P25" s="88">
        <f ca="1">IF(ISNA($A25),"",IFERROR(SUMIFS(D_D[PROD_FYTD],D_D[MT],8,D_D[CAT],SMS,D_D[LOC],$A25),0))</f>
        <v>0</v>
      </c>
      <c r="Q25" s="88">
        <f ca="1">IF(ISNA($A25),"",IFERROR(SUMIFS(D_D[ADCM],D_D[MT],8,D_D[CAT],SMS,D_D[LOC],$A25),0))</f>
        <v>0</v>
      </c>
      <c r="R25" s="6"/>
    </row>
    <row r="26" spans="1:18" ht="12.75" x14ac:dyDescent="0.2">
      <c r="A26" s="120" t="str">
        <f t="shared" ca="1" si="0"/>
        <v>310</v>
      </c>
      <c r="B26" s="23">
        <v>14</v>
      </c>
      <c r="C26" s="150" t="str">
        <f t="shared" ca="1" si="2"/>
        <v>Philadelphia</v>
      </c>
      <c r="D26" s="159">
        <f ca="1">IF(ISNA($A26),"",IFERROR(SUMIFS(D_D[INV],D_D[MT],5,D_D[CAT],SMS, D_D[EP],-1,D_D[LOC],$A26),0))</f>
        <v>5078</v>
      </c>
      <c r="E26" s="159">
        <f ca="1">IF(ISNA($A26),"",IFERROR(SUMIFS(D_D[BL],D_D[MT],5,D_D[CAT],SMS, D_D[EP],-1,D_D[LOC],$A26),0))</f>
        <v>1752</v>
      </c>
      <c r="F26" s="160">
        <f t="shared" ca="1" si="3"/>
        <v>0.34501772351319415</v>
      </c>
      <c r="G26" s="161">
        <f ca="1">IF(ISNA($A26),"",IFERROR(SUMIFS(D_D[ADP],D_D[MT],5,D_D[CAT],SMS, D_D[EP],-1,D_D[LOC],$A26),0))</f>
        <v>111.51</v>
      </c>
      <c r="H26" s="159">
        <f ca="1">IF(ISNA($A26),"",IFERROR(SUMIFS(D_D[PROD_MTD],D_D[MT],5,D_D[CAT],SMS, D_D[EP],-1,D_D[LOC],$A26),0))</f>
        <v>3004</v>
      </c>
      <c r="I26" s="161">
        <f ca="1">IF(ISNA($A26),"",IFERROR(SUMIFS(D_D[ADCM],D_D[MT],5,D_D[CAT],SMS, D_D[EP],-1,D_D[LOC],$A26),0))</f>
        <v>127.38</v>
      </c>
      <c r="J26" s="159">
        <f ca="1">IF(ISNA($A26),"",IFERROR(SUMIFS(D_D[PROD_FYTD],D_D[MT],5,D_D[CAT],SMS, D_D[EP],-1,D_D[LOC],$A26),0))</f>
        <v>29849</v>
      </c>
      <c r="K26" s="161">
        <f ca="1">IF(ISNA($A26),"",IFERROR(SUMIFS(D_D[ADCF],D_D[MT],5,D_D[CAT],SMS, D_D[EP],-1,D_D[LOC],$A26),0))</f>
        <v>114.33</v>
      </c>
      <c r="L26" s="88">
        <f ca="1">IF(ISNA($A26),"",IFERROR(SUMIFS(D_D[INV],D_D[MT],8,D_D[CAT],SMS,D_D[LOC],$A26),0))</f>
        <v>0</v>
      </c>
      <c r="M26" s="88">
        <f ca="1">IF(ISNA($A26),"",IFERROR(SUMIFS(D_D[BL],D_D[MT],8,D_D[CAT],SMS,D_D[LOC],$A26),0))</f>
        <v>0</v>
      </c>
      <c r="N26" s="88">
        <f ca="1">IF(ISNA($A26),"",IFERROR(SUMIFS(D_D[ADP],D_D[MT],8,D_D[CAT],SMS,D_D[LOC],$A26),0))</f>
        <v>0</v>
      </c>
      <c r="O26" s="88">
        <f ca="1">IF(ISNA($A26),"",IFERROR(SUMIFS(D_D[PROD_MTD],D_D[MT],8,D_D[CAT],SMS,D_D[LOC],$A26),0))</f>
        <v>0</v>
      </c>
      <c r="P26" s="88">
        <f ca="1">IF(ISNA($A26),"",IFERROR(SUMIFS(D_D[PROD_FYTD],D_D[MT],8,D_D[CAT],SMS,D_D[LOC],$A26),0))</f>
        <v>0</v>
      </c>
      <c r="Q26" s="88">
        <f ca="1">IF(ISNA($A26),"",IFERROR(SUMIFS(D_D[ADCM],D_D[MT],8,D_D[CAT],SMS,D_D[LOC],$A26),0))</f>
        <v>0</v>
      </c>
      <c r="R26" s="6"/>
    </row>
    <row r="27" spans="1:18" ht="12.75" x14ac:dyDescent="0.2">
      <c r="A27" s="120" t="str">
        <f t="shared" ca="1" si="0"/>
        <v>311</v>
      </c>
      <c r="B27" s="23">
        <v>15</v>
      </c>
      <c r="C27" s="150" t="str">
        <f t="shared" ca="1" si="2"/>
        <v>Pittsburgh</v>
      </c>
      <c r="D27" s="159">
        <f ca="1">IF(ISNA($A27),"",IFERROR(SUMIFS(D_D[INV],D_D[MT],5,D_D[CAT],SMS, D_D[EP],-1,D_D[LOC],$A27),0))</f>
        <v>653</v>
      </c>
      <c r="E27" s="159">
        <f ca="1">IF(ISNA($A27),"",IFERROR(SUMIFS(D_D[BL],D_D[MT],5,D_D[CAT],SMS, D_D[EP],-1,D_D[LOC],$A27),0))</f>
        <v>141</v>
      </c>
      <c r="F27" s="160">
        <f t="shared" ca="1" si="3"/>
        <v>0.21592649310872894</v>
      </c>
      <c r="G27" s="161">
        <f ca="1">IF(ISNA($A27),"",IFERROR(SUMIFS(D_D[ADP],D_D[MT],5,D_D[CAT],SMS, D_D[EP],-1,D_D[LOC],$A27),0))</f>
        <v>121.7</v>
      </c>
      <c r="H27" s="159">
        <f ca="1">IF(ISNA($A27),"",IFERROR(SUMIFS(D_D[PROD_MTD],D_D[MT],5,D_D[CAT],SMS, D_D[EP],-1,D_D[LOC],$A27),0))</f>
        <v>519</v>
      </c>
      <c r="I27" s="161">
        <f ca="1">IF(ISNA($A27),"",IFERROR(SUMIFS(D_D[ADCM],D_D[MT],5,D_D[CAT],SMS, D_D[EP],-1,D_D[LOC],$A27),0))</f>
        <v>116.76</v>
      </c>
      <c r="J27" s="159">
        <f ca="1">IF(ISNA($A27),"",IFERROR(SUMIFS(D_D[PROD_FYTD],D_D[MT],5,D_D[CAT],SMS, D_D[EP],-1,D_D[LOC],$A27),0))</f>
        <v>4733</v>
      </c>
      <c r="K27" s="161">
        <f ca="1">IF(ISNA($A27),"",IFERROR(SUMIFS(D_D[ADCF],D_D[MT],5,D_D[CAT],SMS, D_D[EP],-1,D_D[LOC],$A27),0))</f>
        <v>126.39</v>
      </c>
      <c r="L27" s="88">
        <f ca="1">IF(ISNA($A27),"",IFERROR(SUMIFS(D_D[INV],D_D[MT],8,D_D[CAT],SMS,D_D[LOC],$A27),0))</f>
        <v>0</v>
      </c>
      <c r="M27" s="88">
        <f ca="1">IF(ISNA($A27),"",IFERROR(SUMIFS(D_D[BL],D_D[MT],8,D_D[CAT],SMS,D_D[LOC],$A27),0))</f>
        <v>0</v>
      </c>
      <c r="N27" s="88">
        <f ca="1">IF(ISNA($A27),"",IFERROR(SUMIFS(D_D[ADP],D_D[MT],8,D_D[CAT],SMS,D_D[LOC],$A27),0))</f>
        <v>0</v>
      </c>
      <c r="O27" s="88">
        <f ca="1">IF(ISNA($A27),"",IFERROR(SUMIFS(D_D[PROD_MTD],D_D[MT],8,D_D[CAT],SMS,D_D[LOC],$A27),0))</f>
        <v>0</v>
      </c>
      <c r="P27" s="88">
        <f ca="1">IF(ISNA($A27),"",IFERROR(SUMIFS(D_D[PROD_FYTD],D_D[MT],8,D_D[CAT],SMS,D_D[LOC],$A27),0))</f>
        <v>0</v>
      </c>
      <c r="Q27" s="88">
        <f ca="1">IF(ISNA($A27),"",IFERROR(SUMIFS(D_D[ADCM],D_D[MT],8,D_D[CAT],SMS,D_D[LOC],$A27),0))</f>
        <v>0</v>
      </c>
      <c r="R27" s="6"/>
    </row>
    <row r="28" spans="1:18" ht="12.75" x14ac:dyDescent="0.2">
      <c r="A28" s="120" t="str">
        <f t="shared" ca="1" si="0"/>
        <v>304</v>
      </c>
      <c r="B28" s="23">
        <v>16</v>
      </c>
      <c r="C28" s="150" t="str">
        <f t="shared" ca="1" si="2"/>
        <v>Providence</v>
      </c>
      <c r="D28" s="159">
        <f ca="1">IF(ISNA($A28),"",IFERROR(SUMIFS(D_D[INV],D_D[MT],5,D_D[CAT],SMS, D_D[EP],-1,D_D[LOC],$A28),0))</f>
        <v>1713</v>
      </c>
      <c r="E28" s="159">
        <f ca="1">IF(ISNA($A28),"",IFERROR(SUMIFS(D_D[BL],D_D[MT],5,D_D[CAT],SMS, D_D[EP],-1,D_D[LOC],$A28),0))</f>
        <v>512</v>
      </c>
      <c r="F28" s="160">
        <f t="shared" ca="1" si="3"/>
        <v>0.29889083479276124</v>
      </c>
      <c r="G28" s="161">
        <f ca="1">IF(ISNA($A28),"",IFERROR(SUMIFS(D_D[ADP],D_D[MT],5,D_D[CAT],SMS, D_D[EP],-1,D_D[LOC],$A28),0))</f>
        <v>104.93</v>
      </c>
      <c r="H28" s="159">
        <f ca="1">IF(ISNA($A28),"",IFERROR(SUMIFS(D_D[PROD_MTD],D_D[MT],5,D_D[CAT],SMS, D_D[EP],-1,D_D[LOC],$A28),0))</f>
        <v>1204</v>
      </c>
      <c r="I28" s="161">
        <f ca="1">IF(ISNA($A28),"",IFERROR(SUMIFS(D_D[ADCM],D_D[MT],5,D_D[CAT],SMS, D_D[EP],-1,D_D[LOC],$A28),0))</f>
        <v>86.24</v>
      </c>
      <c r="J28" s="159">
        <f ca="1">IF(ISNA($A28),"",IFERROR(SUMIFS(D_D[PROD_FYTD],D_D[MT],5,D_D[CAT],SMS, D_D[EP],-1,D_D[LOC],$A28),0))</f>
        <v>12650</v>
      </c>
      <c r="K28" s="161">
        <f ca="1">IF(ISNA($A28),"",IFERROR(SUMIFS(D_D[ADCF],D_D[MT],5,D_D[CAT],SMS, D_D[EP],-1,D_D[LOC],$A28),0))</f>
        <v>73.09</v>
      </c>
      <c r="L28" s="88">
        <f ca="1">IF(ISNA($A28),"",IFERROR(SUMIFS(D_D[INV],D_D[MT],8,D_D[CAT],SMS,D_D[LOC],$A28),0))</f>
        <v>0</v>
      </c>
      <c r="M28" s="88">
        <f ca="1">IF(ISNA($A28),"",IFERROR(SUMIFS(D_D[BL],D_D[MT],8,D_D[CAT],SMS,D_D[LOC],$A28),0))</f>
        <v>0</v>
      </c>
      <c r="N28" s="88">
        <f ca="1">IF(ISNA($A28),"",IFERROR(SUMIFS(D_D[ADP],D_D[MT],8,D_D[CAT],SMS,D_D[LOC],$A28),0))</f>
        <v>0</v>
      </c>
      <c r="O28" s="88">
        <f ca="1">IF(ISNA($A28),"",IFERROR(SUMIFS(D_D[PROD_MTD],D_D[MT],8,D_D[CAT],SMS,D_D[LOC],$A28),0))</f>
        <v>0</v>
      </c>
      <c r="P28" s="88">
        <f ca="1">IF(ISNA($A28),"",IFERROR(SUMIFS(D_D[PROD_FYTD],D_D[MT],8,D_D[CAT],SMS,D_D[LOC],$A28),0))</f>
        <v>0</v>
      </c>
      <c r="Q28" s="88">
        <f ca="1">IF(ISNA($A28),"",IFERROR(SUMIFS(D_D[ADCM],D_D[MT],8,D_D[CAT],SMS,D_D[LOC],$A28),0))</f>
        <v>0</v>
      </c>
      <c r="R28" s="6"/>
    </row>
    <row r="29" spans="1:18" ht="12.75" x14ac:dyDescent="0.2">
      <c r="A29" s="120" t="str">
        <f t="shared" ca="1" si="0"/>
        <v>376</v>
      </c>
      <c r="B29" s="23">
        <v>17</v>
      </c>
      <c r="C29" s="150" t="str">
        <f t="shared" ca="1" si="2"/>
        <v>St. Louis RMC</v>
      </c>
      <c r="D29" s="159">
        <f ca="1">IF(ISNA($A29),"",IFERROR(SUMIFS(D_D[INV],D_D[MT],5,D_D[CAT],SMS, D_D[EP],-1,D_D[LOC],$A29),0))</f>
        <v>0</v>
      </c>
      <c r="E29" s="159">
        <f ca="1">IF(ISNA($A29),"",IFERROR(SUMIFS(D_D[BL],D_D[MT],5,D_D[CAT],SMS, D_D[EP],-1,D_D[LOC],$A29),0))</f>
        <v>0</v>
      </c>
      <c r="F29" s="160">
        <f t="shared" ca="1" si="3"/>
        <v>0</v>
      </c>
      <c r="G29" s="161">
        <f ca="1">IF(ISNA($A29),"",IFERROR(SUMIFS(D_D[ADP],D_D[MT],5,D_D[CAT],SMS, D_D[EP],-1,D_D[LOC],$A29),0))</f>
        <v>0</v>
      </c>
      <c r="H29" s="159">
        <f ca="1">IF(ISNA($A29),"",IFERROR(SUMIFS(D_D[PROD_MTD],D_D[MT],5,D_D[CAT],SMS, D_D[EP],-1,D_D[LOC],$A29),0))</f>
        <v>0</v>
      </c>
      <c r="I29" s="161">
        <f ca="1">IF(ISNA($A29),"",IFERROR(SUMIFS(D_D[ADCM],D_D[MT],5,D_D[CAT],SMS, D_D[EP],-1,D_D[LOC],$A29),0))</f>
        <v>0</v>
      </c>
      <c r="J29" s="159">
        <f ca="1">IF(ISNA($A29),"",IFERROR(SUMIFS(D_D[PROD_FYTD],D_D[MT],5,D_D[CAT],SMS, D_D[EP],-1,D_D[LOC],$A29),0))</f>
        <v>1</v>
      </c>
      <c r="K29" s="161">
        <f ca="1">IF(ISNA($A29),"",IFERROR(SUMIFS(D_D[ADCF],D_D[MT],5,D_D[CAT],SMS, D_D[EP],-1,D_D[LOC],$A29),0))</f>
        <v>2</v>
      </c>
      <c r="L29" s="88">
        <f ca="1">IF(ISNA($A29),"",IFERROR(SUMIFS(D_D[INV],D_D[MT],8,D_D[CAT],SMS,D_D[LOC],$A29),0))</f>
        <v>0</v>
      </c>
      <c r="M29" s="88">
        <f ca="1">IF(ISNA($A29),"",IFERROR(SUMIFS(D_D[BL],D_D[MT],8,D_D[CAT],SMS,D_D[LOC],$A29),0))</f>
        <v>0</v>
      </c>
      <c r="N29" s="88">
        <f ca="1">IF(ISNA($A29),"",IFERROR(SUMIFS(D_D[ADP],D_D[MT],8,D_D[CAT],SMS,D_D[LOC],$A29),0))</f>
        <v>0</v>
      </c>
      <c r="O29" s="88">
        <f ca="1">IF(ISNA($A29),"",IFERROR(SUMIFS(D_D[PROD_MTD],D_D[MT],8,D_D[CAT],SMS,D_D[LOC],$A29),0))</f>
        <v>0</v>
      </c>
      <c r="P29" s="88">
        <f ca="1">IF(ISNA($A29),"",IFERROR(SUMIFS(D_D[PROD_FYTD],D_D[MT],8,D_D[CAT],SMS,D_D[LOC],$A29),0))</f>
        <v>0</v>
      </c>
      <c r="Q29" s="88">
        <f ca="1">IF(ISNA($A29),"",IFERROR(SUMIFS(D_D[ADCM],D_D[MT],8,D_D[CAT],SMS,D_D[LOC],$A29),0))</f>
        <v>0</v>
      </c>
      <c r="R29" s="6"/>
    </row>
    <row r="30" spans="1:18" ht="12.75" x14ac:dyDescent="0.2">
      <c r="A30" s="120" t="str">
        <f t="shared" ca="1" si="0"/>
        <v>331</v>
      </c>
      <c r="B30" s="23">
        <v>18</v>
      </c>
      <c r="C30" s="150" t="str">
        <f t="shared" ca="1" si="2"/>
        <v>St. Louis</v>
      </c>
      <c r="D30" s="159">
        <f ca="1">IF(ISNA($A30),"",IFERROR(SUMIFS(D_D[INV],D_D[MT],5,D_D[CAT],SMS, D_D[EP],-1,D_D[LOC],$A30),0))</f>
        <v>1747</v>
      </c>
      <c r="E30" s="159">
        <f ca="1">IF(ISNA($A30),"",IFERROR(SUMIFS(D_D[BL],D_D[MT],5,D_D[CAT],SMS, D_D[EP],-1,D_D[LOC],$A30),0))</f>
        <v>284</v>
      </c>
      <c r="F30" s="160">
        <f t="shared" ca="1" si="3"/>
        <v>0.16256439610761306</v>
      </c>
      <c r="G30" s="161">
        <f ca="1">IF(ISNA($A30),"",IFERROR(SUMIFS(D_D[ADP],D_D[MT],5,D_D[CAT],SMS, D_D[EP],-1,D_D[LOC],$A30),0))</f>
        <v>90.2</v>
      </c>
      <c r="H30" s="159">
        <f ca="1">IF(ISNA($A30),"",IFERROR(SUMIFS(D_D[PROD_MTD],D_D[MT],5,D_D[CAT],SMS, D_D[EP],-1,D_D[LOC],$A30),0))</f>
        <v>1240</v>
      </c>
      <c r="I30" s="161">
        <f ca="1">IF(ISNA($A30),"",IFERROR(SUMIFS(D_D[ADCM],D_D[MT],5,D_D[CAT],SMS, D_D[EP],-1,D_D[LOC],$A30),0))</f>
        <v>128.29</v>
      </c>
      <c r="J30" s="159">
        <f ca="1">IF(ISNA($A30),"",IFERROR(SUMIFS(D_D[PROD_FYTD],D_D[MT],5,D_D[CAT],SMS, D_D[EP],-1,D_D[LOC],$A30),0))</f>
        <v>12769</v>
      </c>
      <c r="K30" s="161">
        <f ca="1">IF(ISNA($A30),"",IFERROR(SUMIFS(D_D[ADCF],D_D[MT],5,D_D[CAT],SMS, D_D[EP],-1,D_D[LOC],$A30),0))</f>
        <v>107.45</v>
      </c>
      <c r="L30" s="88">
        <f ca="1">IF(ISNA($A30),"",IFERROR(SUMIFS(D_D[INV],D_D[MT],8,D_D[CAT],SMS,D_D[LOC],$A30),0))</f>
        <v>0</v>
      </c>
      <c r="M30" s="88">
        <f ca="1">IF(ISNA($A30),"",IFERROR(SUMIFS(D_D[BL],D_D[MT],8,D_D[CAT],SMS,D_D[LOC],$A30),0))</f>
        <v>0</v>
      </c>
      <c r="N30" s="88">
        <f ca="1">IF(ISNA($A30),"",IFERROR(SUMIFS(D_D[ADP],D_D[MT],8,D_D[CAT],SMS,D_D[LOC],$A30),0))</f>
        <v>0</v>
      </c>
      <c r="O30" s="88">
        <f ca="1">IF(ISNA($A30),"",IFERROR(SUMIFS(D_D[PROD_MTD],D_D[MT],8,D_D[CAT],SMS,D_D[LOC],$A30),0))</f>
        <v>0</v>
      </c>
      <c r="P30" s="88">
        <f ca="1">IF(ISNA($A30),"",IFERROR(SUMIFS(D_D[PROD_FYTD],D_D[MT],8,D_D[CAT],SMS,D_D[LOC],$A30),0))</f>
        <v>0</v>
      </c>
      <c r="Q30" s="88">
        <f ca="1">IF(ISNA($A30),"",IFERROR(SUMIFS(D_D[ADCM],D_D[MT],8,D_D[CAT],SMS,D_D[LOC],$A30),0))</f>
        <v>0</v>
      </c>
      <c r="R30" s="6"/>
    </row>
    <row r="31" spans="1:18" ht="12.75" x14ac:dyDescent="0.2">
      <c r="A31" s="120" t="str">
        <f t="shared" ca="1" si="0"/>
        <v>402</v>
      </c>
      <c r="B31" s="23">
        <v>19</v>
      </c>
      <c r="C31" s="150" t="str">
        <f t="shared" ca="1" si="2"/>
        <v>Togus</v>
      </c>
      <c r="D31" s="159">
        <f ca="1">IF(ISNA($A31),"",IFERROR(SUMIFS(D_D[INV],D_D[MT],5,D_D[CAT],SMS, D_D[EP],-1,D_D[LOC],$A31),0))</f>
        <v>1397</v>
      </c>
      <c r="E31" s="159">
        <f ca="1">IF(ISNA($A31),"",IFERROR(SUMIFS(D_D[BL],D_D[MT],5,D_D[CAT],SMS, D_D[EP],-1,D_D[LOC],$A31),0))</f>
        <v>540</v>
      </c>
      <c r="F31" s="160">
        <f t="shared" ca="1" si="3"/>
        <v>0.38654259126700069</v>
      </c>
      <c r="G31" s="161">
        <f ca="1">IF(ISNA($A31),"",IFERROR(SUMIFS(D_D[ADP],D_D[MT],5,D_D[CAT],SMS, D_D[EP],-1,D_D[LOC],$A31),0))</f>
        <v>129.38999999999999</v>
      </c>
      <c r="H31" s="159">
        <f ca="1">IF(ISNA($A31),"",IFERROR(SUMIFS(D_D[PROD_MTD],D_D[MT],5,D_D[CAT],SMS, D_D[EP],-1,D_D[LOC],$A31),0))</f>
        <v>920</v>
      </c>
      <c r="I31" s="161">
        <f ca="1">IF(ISNA($A31),"",IFERROR(SUMIFS(D_D[ADCM],D_D[MT],5,D_D[CAT],SMS, D_D[EP],-1,D_D[LOC],$A31),0))</f>
        <v>123.74</v>
      </c>
      <c r="J31" s="159">
        <f ca="1">IF(ISNA($A31),"",IFERROR(SUMIFS(D_D[PROD_FYTD],D_D[MT],5,D_D[CAT],SMS, D_D[EP],-1,D_D[LOC],$A31),0))</f>
        <v>9560</v>
      </c>
      <c r="K31" s="161">
        <f ca="1">IF(ISNA($A31),"",IFERROR(SUMIFS(D_D[ADCF],D_D[MT],5,D_D[CAT],SMS, D_D[EP],-1,D_D[LOC],$A31),0))</f>
        <v>118.45</v>
      </c>
      <c r="L31" s="88">
        <f ca="1">IF(ISNA($A31),"",IFERROR(SUMIFS(D_D[INV],D_D[MT],8,D_D[CAT],SMS,D_D[LOC],$A31),0))</f>
        <v>0</v>
      </c>
      <c r="M31" s="88">
        <f ca="1">IF(ISNA($A31),"",IFERROR(SUMIFS(D_D[BL],D_D[MT],8,D_D[CAT],SMS,D_D[LOC],$A31),0))</f>
        <v>0</v>
      </c>
      <c r="N31" s="88">
        <f ca="1">IF(ISNA($A31),"",IFERROR(SUMIFS(D_D[ADP],D_D[MT],8,D_D[CAT],SMS,D_D[LOC],$A31),0))</f>
        <v>0</v>
      </c>
      <c r="O31" s="88">
        <f ca="1">IF(ISNA($A31),"",IFERROR(SUMIFS(D_D[PROD_MTD],D_D[MT],8,D_D[CAT],SMS,D_D[LOC],$A31),0))</f>
        <v>0</v>
      </c>
      <c r="P31" s="88">
        <f ca="1">IF(ISNA($A31),"",IFERROR(SUMIFS(D_D[PROD_FYTD],D_D[MT],8,D_D[CAT],SMS,D_D[LOC],$A31),0))</f>
        <v>0</v>
      </c>
      <c r="Q31" s="88">
        <f ca="1">IF(ISNA($A31),"",IFERROR(SUMIFS(D_D[ADCM],D_D[MT],8,D_D[CAT],SMS,D_D[LOC],$A31),0))</f>
        <v>0</v>
      </c>
      <c r="R31" s="6"/>
    </row>
    <row r="32" spans="1:18" ht="12.75" x14ac:dyDescent="0.2">
      <c r="A32" s="120" t="str">
        <f t="shared" ca="1" si="0"/>
        <v>372</v>
      </c>
      <c r="B32" s="23">
        <v>20</v>
      </c>
      <c r="C32" s="150" t="str">
        <f t="shared" ca="1" si="2"/>
        <v>Washington</v>
      </c>
      <c r="D32" s="159">
        <f ca="1">IF(ISNA($A32),"",IFERROR(SUMIFS(D_D[INV],D_D[MT],5,D_D[CAT],SMS, D_D[EP],-1,D_D[LOC],$A32),0))</f>
        <v>6</v>
      </c>
      <c r="E32" s="159">
        <f ca="1">IF(ISNA($A32),"",IFERROR(SUMIFS(D_D[BL],D_D[MT],5,D_D[CAT],SMS, D_D[EP],-1,D_D[LOC],$A32),0))</f>
        <v>1</v>
      </c>
      <c r="F32" s="160">
        <f t="shared" ca="1" si="3"/>
        <v>0.16666666666666666</v>
      </c>
      <c r="G32" s="161">
        <f ca="1">IF(ISNA($A32),"",IFERROR(SUMIFS(D_D[ADP],D_D[MT],5,D_D[CAT],SMS, D_D[EP],-1,D_D[LOC],$A32),0))</f>
        <v>91.17</v>
      </c>
      <c r="H32" s="159">
        <f ca="1">IF(ISNA($A32),"",IFERROR(SUMIFS(D_D[PROD_MTD],D_D[MT],5,D_D[CAT],SMS, D_D[EP],-1,D_D[LOC],$A32),0))</f>
        <v>0</v>
      </c>
      <c r="I32" s="161">
        <f ca="1">IF(ISNA($A32),"",IFERROR(SUMIFS(D_D[ADCM],D_D[MT],5,D_D[CAT],SMS, D_D[EP],-1,D_D[LOC],$A32),0))</f>
        <v>0</v>
      </c>
      <c r="J32" s="159">
        <f ca="1">IF(ISNA($A32),"",IFERROR(SUMIFS(D_D[PROD_FYTD],D_D[MT],5,D_D[CAT],SMS, D_D[EP],-1,D_D[LOC],$A32),0))</f>
        <v>4</v>
      </c>
      <c r="K32" s="161">
        <f ca="1">IF(ISNA($A32),"",IFERROR(SUMIFS(D_D[ADCF],D_D[MT],5,D_D[CAT],SMS, D_D[EP],-1,D_D[LOC],$A32),0))</f>
        <v>1</v>
      </c>
      <c r="L32" s="88">
        <f ca="1">IF(ISNA($A32),"",IFERROR(SUMIFS(D_D[INV],D_D[MT],8,D_D[CAT],SMS,D_D[LOC],$A32),0))</f>
        <v>0</v>
      </c>
      <c r="M32" s="88">
        <f ca="1">IF(ISNA($A32),"",IFERROR(SUMIFS(D_D[BL],D_D[MT],8,D_D[CAT],SMS,D_D[LOC],$A32),0))</f>
        <v>0</v>
      </c>
      <c r="N32" s="88">
        <f ca="1">IF(ISNA($A32),"",IFERROR(SUMIFS(D_D[ADP],D_D[MT],8,D_D[CAT],SMS,D_D[LOC],$A32),0))</f>
        <v>0</v>
      </c>
      <c r="O32" s="88">
        <f ca="1">IF(ISNA($A32),"",IFERROR(SUMIFS(D_D[PROD_MTD],D_D[MT],8,D_D[CAT],SMS,D_D[LOC],$A32),0))</f>
        <v>0</v>
      </c>
      <c r="P32" s="88">
        <f ca="1">IF(ISNA($A32),"",IFERROR(SUMIFS(D_D[PROD_FYTD],D_D[MT],8,D_D[CAT],SMS,D_D[LOC],$A32),0))</f>
        <v>0</v>
      </c>
      <c r="Q32" s="88">
        <f ca="1">IF(ISNA($A32),"",IFERROR(SUMIFS(D_D[ADCM],D_D[MT],8,D_D[CAT],SMS,D_D[LOC],$A32),0))</f>
        <v>0</v>
      </c>
      <c r="R32" s="6"/>
    </row>
    <row r="33" spans="1:18" ht="12.75" x14ac:dyDescent="0.2">
      <c r="A33" s="120" t="str">
        <f t="shared" ca="1" si="0"/>
        <v>405</v>
      </c>
      <c r="B33" s="23">
        <v>21</v>
      </c>
      <c r="C33" s="150" t="str">
        <f t="shared" ca="1" si="2"/>
        <v>White River Junction</v>
      </c>
      <c r="D33" s="159">
        <f ca="1">IF(ISNA($A33),"",IFERROR(SUMIFS(D_D[INV],D_D[MT],5,D_D[CAT],SMS, D_D[EP],-1,D_D[LOC],$A33),0))</f>
        <v>272</v>
      </c>
      <c r="E33" s="159">
        <f ca="1">IF(ISNA($A33),"",IFERROR(SUMIFS(D_D[BL],D_D[MT],5,D_D[CAT],SMS, D_D[EP],-1,D_D[LOC],$A33),0))</f>
        <v>22</v>
      </c>
      <c r="F33" s="160">
        <f t="shared" ca="1" si="3"/>
        <v>8.0882352941176475E-2</v>
      </c>
      <c r="G33" s="161">
        <f ca="1">IF(ISNA($A33),"",IFERROR(SUMIFS(D_D[ADP],D_D[MT],5,D_D[CAT],SMS, D_D[EP],-1,D_D[LOC],$A33),0))</f>
        <v>83.36</v>
      </c>
      <c r="H33" s="159">
        <f ca="1">IF(ISNA($A33),"",IFERROR(SUMIFS(D_D[PROD_MTD],D_D[MT],5,D_D[CAT],SMS, D_D[EP],-1,D_D[LOC],$A33),0))</f>
        <v>150</v>
      </c>
      <c r="I33" s="161">
        <f ca="1">IF(ISNA($A33),"",IFERROR(SUMIFS(D_D[ADCM],D_D[MT],5,D_D[CAT],SMS, D_D[EP],-1,D_D[LOC],$A33),0))</f>
        <v>78.319999999999993</v>
      </c>
      <c r="J33" s="159">
        <f ca="1">IF(ISNA($A33),"",IFERROR(SUMIFS(D_D[PROD_FYTD],D_D[MT],5,D_D[CAT],SMS, D_D[EP],-1,D_D[LOC],$A33),0))</f>
        <v>1277</v>
      </c>
      <c r="K33" s="161">
        <f ca="1">IF(ISNA($A33),"",IFERROR(SUMIFS(D_D[ADCF],D_D[MT],5,D_D[CAT],SMS, D_D[EP],-1,D_D[LOC],$A33),0))</f>
        <v>79.040000000000006</v>
      </c>
      <c r="L33" s="88">
        <f ca="1">IF(ISNA($A33),"",IFERROR(SUMIFS(D_D[INV],D_D[MT],8,D_D[CAT],SMS,D_D[LOC],$A33),0))</f>
        <v>0</v>
      </c>
      <c r="M33" s="88">
        <f ca="1">IF(ISNA($A33),"",IFERROR(SUMIFS(D_D[BL],D_D[MT],8,D_D[CAT],SMS,D_D[LOC],$A33),0))</f>
        <v>0</v>
      </c>
      <c r="N33" s="88">
        <f ca="1">IF(ISNA($A33),"",IFERROR(SUMIFS(D_D[ADP],D_D[MT],8,D_D[CAT],SMS,D_D[LOC],$A33),0))</f>
        <v>0</v>
      </c>
      <c r="O33" s="88">
        <f ca="1">IF(ISNA($A33),"",IFERROR(SUMIFS(D_D[PROD_MTD],D_D[MT],8,D_D[CAT],SMS,D_D[LOC],$A33),0))</f>
        <v>0</v>
      </c>
      <c r="P33" s="88">
        <f ca="1">IF(ISNA($A33),"",IFERROR(SUMIFS(D_D[PROD_FYTD],D_D[MT],8,D_D[CAT],SMS,D_D[LOC],$A33),0))</f>
        <v>0</v>
      </c>
      <c r="Q33" s="88">
        <f ca="1">IF(ISNA($A33),"",IFERROR(SUMIFS(D_D[ADCM],D_D[MT],8,D_D[CAT],SMS,D_D[LOC],$A33),0))</f>
        <v>0</v>
      </c>
      <c r="R33" s="6"/>
    </row>
    <row r="34" spans="1:18" ht="12.75" x14ac:dyDescent="0.2">
      <c r="A34" s="120" t="str">
        <f t="shared" ca="1" si="0"/>
        <v>460</v>
      </c>
      <c r="B34" s="23">
        <v>22</v>
      </c>
      <c r="C34" s="150" t="str">
        <f t="shared" ca="1" si="2"/>
        <v>Wilmington</v>
      </c>
      <c r="D34" s="159">
        <f ca="1">IF(ISNA($A34),"",IFERROR(SUMIFS(D_D[INV],D_D[MT],5,D_D[CAT],SMS, D_D[EP],-1,D_D[LOC],$A34),0))</f>
        <v>241</v>
      </c>
      <c r="E34" s="159">
        <f ca="1">IF(ISNA($A34),"",IFERROR(SUMIFS(D_D[BL],D_D[MT],5,D_D[CAT],SMS, D_D[EP],-1,D_D[LOC],$A34),0))</f>
        <v>32</v>
      </c>
      <c r="F34" s="160">
        <f t="shared" ca="1" si="3"/>
        <v>0.13278008298755187</v>
      </c>
      <c r="G34" s="161">
        <f ca="1">IF(ISNA($A34),"",IFERROR(SUMIFS(D_D[ADP],D_D[MT],5,D_D[CAT],SMS, D_D[EP],-1,D_D[LOC],$A34),0))</f>
        <v>89.4</v>
      </c>
      <c r="H34" s="159">
        <f ca="1">IF(ISNA($A34),"",IFERROR(SUMIFS(D_D[PROD_MTD],D_D[MT],5,D_D[CAT],SMS, D_D[EP],-1,D_D[LOC],$A34),0))</f>
        <v>129</v>
      </c>
      <c r="I34" s="161">
        <f ca="1">IF(ISNA($A34),"",IFERROR(SUMIFS(D_D[ADCM],D_D[MT],5,D_D[CAT],SMS, D_D[EP],-1,D_D[LOC],$A34),0))</f>
        <v>80.84</v>
      </c>
      <c r="J34" s="159">
        <f ca="1">IF(ISNA($A34),"",IFERROR(SUMIFS(D_D[PROD_FYTD],D_D[MT],5,D_D[CAT],SMS, D_D[EP],-1,D_D[LOC],$A34),0))</f>
        <v>1492</v>
      </c>
      <c r="K34" s="161">
        <f ca="1">IF(ISNA($A34),"",IFERROR(SUMIFS(D_D[ADCF],D_D[MT],5,D_D[CAT],SMS, D_D[EP],-1,D_D[LOC],$A34),0))</f>
        <v>83.19</v>
      </c>
      <c r="L34" s="88">
        <f ca="1">IF(ISNA($A34),"",IFERROR(SUMIFS(D_D[INV],D_D[MT],8,D_D[CAT],SMS,D_D[LOC],$A34),0))</f>
        <v>0</v>
      </c>
      <c r="M34" s="88">
        <f ca="1">IF(ISNA($A34),"",IFERROR(SUMIFS(D_D[BL],D_D[MT],8,D_D[CAT],SMS,D_D[LOC],$A34),0))</f>
        <v>0</v>
      </c>
      <c r="N34" s="88">
        <f ca="1">IF(ISNA($A34),"",IFERROR(SUMIFS(D_D[ADP],D_D[MT],8,D_D[CAT],SMS,D_D[LOC],$A34),0))</f>
        <v>0</v>
      </c>
      <c r="O34" s="88">
        <f ca="1">IF(ISNA($A34),"",IFERROR(SUMIFS(D_D[PROD_MTD],D_D[MT],8,D_D[CAT],SMS,D_D[LOC],$A34),0))</f>
        <v>0</v>
      </c>
      <c r="P34" s="88">
        <f ca="1">IF(ISNA($A34),"",IFERROR(SUMIFS(D_D[PROD_FYTD],D_D[MT],8,D_D[CAT],SMS,D_D[LOC],$A34),0))</f>
        <v>0</v>
      </c>
      <c r="Q34" s="88">
        <f ca="1">IF(ISNA($A34),"",IFERROR(SUMIFS(D_D[ADCM],D_D[MT],8,D_D[CAT],SMS,D_D[LOC],$A34),0))</f>
        <v>0</v>
      </c>
      <c r="R34" s="6"/>
    </row>
    <row r="35" spans="1:18" ht="12.75" x14ac:dyDescent="0.2">
      <c r="A35" s="120" t="e">
        <f t="shared" ca="1" si="0"/>
        <v>#N/A</v>
      </c>
      <c r="B35" s="23">
        <v>23</v>
      </c>
      <c r="C35" s="150" t="str">
        <f t="shared" ca="1" si="2"/>
        <v/>
      </c>
      <c r="D35" s="159" t="str">
        <f ca="1">IF(ISNA($A35),"",IFERROR(SUMIFS(D_D[INV],D_D[MT],5,D_D[CAT],SMS, D_D[EP],-1,D_D[LOC],$A35),0))</f>
        <v/>
      </c>
      <c r="E35" s="159" t="str">
        <f ca="1">IF(ISNA($A35),"",IFERROR(SUMIFS(D_D[BL],D_D[MT],5,D_D[CAT],SMS, D_D[EP],-1,D_D[LOC],$A35),0))</f>
        <v/>
      </c>
      <c r="F35" s="160" t="str">
        <f t="shared" ca="1" si="3"/>
        <v/>
      </c>
      <c r="G35" s="161" t="str">
        <f ca="1">IF(ISNA($A35),"",IFERROR(SUMIFS(D_D[ADP],D_D[MT],5,D_D[CAT],SMS, D_D[EP],-1,D_D[LOC],$A35),0))</f>
        <v/>
      </c>
      <c r="H35" s="159" t="str">
        <f ca="1">IF(ISNA($A35),"",IFERROR(SUMIFS(D_D[PROD_MTD],D_D[MT],5,D_D[CAT],SMS, D_D[EP],-1,D_D[LOC],$A35),0))</f>
        <v/>
      </c>
      <c r="I35" s="161" t="str">
        <f ca="1">IF(ISNA($A35),"",IFERROR(SUMIFS(D_D[ADCM],D_D[MT],5,D_D[CAT],SMS, D_D[EP],-1,D_D[LOC],$A35),0))</f>
        <v/>
      </c>
      <c r="J35" s="159" t="str">
        <f ca="1">IF(ISNA($A35),"",IFERROR(SUMIFS(D_D[PROD_FYTD],D_D[MT],5,D_D[CAT],SMS, D_D[EP],-1,D_D[LOC],$A35),0))</f>
        <v/>
      </c>
      <c r="K35" s="161" t="str">
        <f ca="1">IF(ISNA($A35),"",IFERROR(SUMIFS(D_D[ADCF],D_D[MT],5,D_D[CAT],SMS, D_D[EP],-1,D_D[LOC],$A35),0))</f>
        <v/>
      </c>
      <c r="L35" s="88" t="str">
        <f ca="1">IF(ISNA($A35),"",IFERROR(SUMIFS(D_D[INV],D_D[MT],8,D_D[CAT],SMS,D_D[LOC],$A35),0))</f>
        <v/>
      </c>
      <c r="M35" s="88" t="str">
        <f ca="1">IF(ISNA($A35),"",IFERROR(SUMIFS(D_D[BL],D_D[MT],8,D_D[CAT],SMS,D_D[LOC],$A35),0))</f>
        <v/>
      </c>
      <c r="N35" s="88" t="str">
        <f ca="1">IF(ISNA($A35),"",IFERROR(SUMIFS(D_D[ADP],D_D[MT],8,D_D[CAT],SMS,D_D[LOC],$A35),0))</f>
        <v/>
      </c>
      <c r="O35" s="88" t="str">
        <f ca="1">IF(ISNA($A35),"",IFERROR(SUMIFS(D_D[PROD_MTD],D_D[MT],8,D_D[CAT],SMS,D_D[LOC],$A35),0))</f>
        <v/>
      </c>
      <c r="P35" s="88" t="str">
        <f ca="1">IF(ISNA($A35),"",IFERROR(SUMIFS(D_D[PROD_FYTD],D_D[MT],8,D_D[CAT],SMS,D_D[LOC],$A35),0))</f>
        <v/>
      </c>
      <c r="Q35" s="88" t="str">
        <f ca="1">IF(ISNA($A35),"",IFERROR(SUMIFS(D_D[ADCM],D_D[MT],8,D_D[CAT],SMS,D_D[LOC],$A35),0))</f>
        <v/>
      </c>
      <c r="R35" s="6"/>
    </row>
    <row r="36" spans="1:18" ht="8.1" customHeight="1" x14ac:dyDescent="0.2">
      <c r="B36" s="4"/>
      <c r="C36" s="5"/>
      <c r="D36" s="5"/>
      <c r="E36" s="5"/>
      <c r="F36" s="5"/>
      <c r="G36" s="5"/>
      <c r="H36" s="5"/>
      <c r="I36" s="5"/>
      <c r="J36" s="5"/>
      <c r="K36" s="5"/>
      <c r="L36" s="5"/>
      <c r="M36" s="5"/>
      <c r="N36" s="5"/>
      <c r="O36" s="5"/>
      <c r="P36" s="5"/>
      <c r="Q36" s="5"/>
      <c r="R36" s="6"/>
    </row>
    <row r="37" spans="1:18" ht="12.75" hidden="1" customHeight="1" x14ac:dyDescent="0.2"/>
    <row r="38" spans="1:18" ht="12.75" hidden="1" customHeight="1" x14ac:dyDescent="0.2"/>
    <row r="39" spans="1:18" ht="12.75" hidden="1" customHeight="1" x14ac:dyDescent="0.2"/>
  </sheetData>
  <sheetProtection autoFilter="0"/>
  <protectedRanges>
    <protectedRange sqref="D13:K35" name="SOJ"/>
    <protectedRange sqref="D12:Q12" name="SOJ_1"/>
  </protectedRanges>
  <mergeCells count="21">
    <mergeCell ref="I9:I11"/>
    <mergeCell ref="J9:J11"/>
    <mergeCell ref="K9:K11"/>
    <mergeCell ref="L9:L11"/>
    <mergeCell ref="D2:K2"/>
    <mergeCell ref="L2:Q2"/>
    <mergeCell ref="D3:K3"/>
    <mergeCell ref="L3:Q3"/>
    <mergeCell ref="D9:D11"/>
    <mergeCell ref="E9:E11"/>
    <mergeCell ref="F9:F11"/>
    <mergeCell ref="G9:G11"/>
    <mergeCell ref="H9:H11"/>
    <mergeCell ref="Q10:Q11"/>
    <mergeCell ref="D8:K8"/>
    <mergeCell ref="L8:Q8"/>
    <mergeCell ref="M9:M11"/>
    <mergeCell ref="N9:O9"/>
    <mergeCell ref="O10:O11"/>
    <mergeCell ref="P9:Q9"/>
    <mergeCell ref="L7:Q7"/>
  </mergeCells>
  <conditionalFormatting sqref="B1:R1 B5:B6 B36:R36 B4:R4 B2:D3 L2:R3 B7:L7 B10:C11 G9 B8:D9 L8:L9 R5:R35 B12:B35">
    <cfRule type="expression" dxfId="563" priority="45">
      <formula>IF(OR(ISERROR(B1),B1="ERROR"),TRUE,FALSE)</formula>
    </cfRule>
  </conditionalFormatting>
  <conditionalFormatting sqref="C5:C6">
    <cfRule type="expression" dxfId="562" priority="44">
      <formula>IF(OR(ISERROR(C5),C5="ERROR"),TRUE,FALSE)</formula>
    </cfRule>
  </conditionalFormatting>
  <conditionalFormatting sqref="D5:D6">
    <cfRule type="expression" dxfId="561" priority="43">
      <formula>IF(OR(ISERROR(D5),D5="ERROR"),TRUE,FALSE)</formula>
    </cfRule>
  </conditionalFormatting>
  <conditionalFormatting sqref="E9">
    <cfRule type="expression" dxfId="560" priority="42">
      <formula>IF(OR(ISERROR(E9),E9="ERROR"),TRUE,FALSE)</formula>
    </cfRule>
  </conditionalFormatting>
  <conditionalFormatting sqref="F9">
    <cfRule type="expression" dxfId="559" priority="41">
      <formula>IF(OR(ISERROR(F9),F9="ERROR"),TRUE,FALSE)</formula>
    </cfRule>
  </conditionalFormatting>
  <conditionalFormatting sqref="H9">
    <cfRule type="expression" dxfId="558" priority="40">
      <formula>IF(OR(ISERROR(H9),H9="ERROR"),TRUE,FALSE)</formula>
    </cfRule>
  </conditionalFormatting>
  <conditionalFormatting sqref="I9">
    <cfRule type="expression" dxfId="557" priority="39">
      <formula>IF(OR(ISERROR(I9),I9="ERROR"),TRUE,FALSE)</formula>
    </cfRule>
  </conditionalFormatting>
  <conditionalFormatting sqref="J9">
    <cfRule type="expression" dxfId="556" priority="38">
      <formula>IF(OR(ISERROR(J9),J9="ERROR"),TRUE,FALSE)</formula>
    </cfRule>
  </conditionalFormatting>
  <conditionalFormatting sqref="K9">
    <cfRule type="expression" dxfId="555" priority="37">
      <formula>IF(OR(ISERROR(K9),K9="ERROR"),TRUE,FALSE)</formula>
    </cfRule>
  </conditionalFormatting>
  <conditionalFormatting sqref="L12">
    <cfRule type="cellIs" dxfId="554" priority="35" operator="equal">
      <formula>0</formula>
    </cfRule>
    <cfRule type="cellIs" dxfId="553" priority="36" operator="equal">
      <formula>0</formula>
    </cfRule>
  </conditionalFormatting>
  <conditionalFormatting sqref="M12">
    <cfRule type="cellIs" dxfId="552" priority="33" operator="equal">
      <formula>0</formula>
    </cfRule>
    <cfRule type="cellIs" dxfId="551" priority="34" operator="equal">
      <formula>0</formula>
    </cfRule>
  </conditionalFormatting>
  <conditionalFormatting sqref="N12">
    <cfRule type="cellIs" dxfId="550" priority="31" operator="equal">
      <formula>0</formula>
    </cfRule>
    <cfRule type="cellIs" dxfId="549" priority="32" operator="equal">
      <formula>0</formula>
    </cfRule>
  </conditionalFormatting>
  <conditionalFormatting sqref="O12">
    <cfRule type="cellIs" dxfId="548" priority="29" operator="equal">
      <formula>0</formula>
    </cfRule>
    <cfRule type="cellIs" dxfId="547" priority="30" operator="equal">
      <formula>0</formula>
    </cfRule>
  </conditionalFormatting>
  <conditionalFormatting sqref="P12">
    <cfRule type="cellIs" dxfId="546" priority="27" operator="equal">
      <formula>0</formula>
    </cfRule>
    <cfRule type="cellIs" dxfId="545" priority="28" operator="equal">
      <formula>0</formula>
    </cfRule>
  </conditionalFormatting>
  <conditionalFormatting sqref="Q12">
    <cfRule type="cellIs" dxfId="544" priority="25" operator="equal">
      <formula>0</formula>
    </cfRule>
    <cfRule type="cellIs" dxfId="543" priority="26" operator="equal">
      <formula>0</formula>
    </cfRule>
  </conditionalFormatting>
  <conditionalFormatting sqref="L13">
    <cfRule type="cellIs" dxfId="542" priority="23" operator="equal">
      <formula>0</formula>
    </cfRule>
    <cfRule type="cellIs" dxfId="541" priority="24" operator="equal">
      <formula>0</formula>
    </cfRule>
  </conditionalFormatting>
  <conditionalFormatting sqref="M13">
    <cfRule type="cellIs" dxfId="540" priority="21" operator="equal">
      <formula>0</formula>
    </cfRule>
    <cfRule type="cellIs" dxfId="539" priority="22" operator="equal">
      <formula>0</formula>
    </cfRule>
  </conditionalFormatting>
  <conditionalFormatting sqref="N13">
    <cfRule type="cellIs" dxfId="538" priority="19" operator="equal">
      <formula>0</formula>
    </cfRule>
    <cfRule type="cellIs" dxfId="537" priority="20" operator="equal">
      <formula>0</formula>
    </cfRule>
  </conditionalFormatting>
  <conditionalFormatting sqref="O13">
    <cfRule type="cellIs" dxfId="536" priority="17" operator="equal">
      <formula>0</formula>
    </cfRule>
    <cfRule type="cellIs" dxfId="535" priority="18" operator="equal">
      <formula>0</formula>
    </cfRule>
  </conditionalFormatting>
  <conditionalFormatting sqref="P13">
    <cfRule type="cellIs" dxfId="534" priority="15" operator="equal">
      <formula>0</formula>
    </cfRule>
    <cfRule type="cellIs" dxfId="533" priority="16" operator="equal">
      <formula>0</formula>
    </cfRule>
  </conditionalFormatting>
  <conditionalFormatting sqref="Q13">
    <cfRule type="cellIs" dxfId="532" priority="13" operator="equal">
      <formula>0</formula>
    </cfRule>
    <cfRule type="cellIs" dxfId="531" priority="14" operator="equal">
      <formula>0</formula>
    </cfRule>
  </conditionalFormatting>
  <conditionalFormatting sqref="L14:L35">
    <cfRule type="cellIs" dxfId="530" priority="11" operator="equal">
      <formula>0</formula>
    </cfRule>
    <cfRule type="cellIs" dxfId="529" priority="12" operator="equal">
      <formula>0</formula>
    </cfRule>
  </conditionalFormatting>
  <conditionalFormatting sqref="M14:M35">
    <cfRule type="cellIs" dxfId="528" priority="9" operator="equal">
      <formula>0</formula>
    </cfRule>
    <cfRule type="cellIs" dxfId="527" priority="10" operator="equal">
      <formula>0</formula>
    </cfRule>
  </conditionalFormatting>
  <conditionalFormatting sqref="N14:N35">
    <cfRule type="cellIs" dxfId="526" priority="7" operator="equal">
      <formula>0</formula>
    </cfRule>
    <cfRule type="cellIs" dxfId="525" priority="8" operator="equal">
      <formula>0</formula>
    </cfRule>
  </conditionalFormatting>
  <conditionalFormatting sqref="O14:O35">
    <cfRule type="cellIs" dxfId="524" priority="5" operator="equal">
      <formula>0</formula>
    </cfRule>
    <cfRule type="cellIs" dxfId="523" priority="6" operator="equal">
      <formula>0</formula>
    </cfRule>
  </conditionalFormatting>
  <conditionalFormatting sqref="P14:P35">
    <cfRule type="cellIs" dxfId="522" priority="3" operator="equal">
      <formula>0</formula>
    </cfRule>
    <cfRule type="cellIs" dxfId="521" priority="4" operator="equal">
      <formula>0</formula>
    </cfRule>
  </conditionalFormatting>
  <conditionalFormatting sqref="Q14:Q35">
    <cfRule type="cellIs" dxfId="520" priority="1" operator="equal">
      <formula>0</formula>
    </cfRule>
    <cfRule type="cellIs" dxfId="519" priority="2" operator="equal">
      <formula>0</formula>
    </cfRule>
  </conditionalFormatting>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9809"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19810"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19811"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19812"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19813"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19814"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8"/>
  <dimension ref="A1:R39"/>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1"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30" t="s">
        <v>449</v>
      </c>
      <c r="D2" s="293" t="s">
        <v>804</v>
      </c>
      <c r="E2" s="294"/>
      <c r="F2" s="294"/>
      <c r="G2" s="294"/>
      <c r="H2" s="294"/>
      <c r="I2" s="294"/>
      <c r="J2" s="294"/>
      <c r="K2" s="310"/>
      <c r="L2" s="294" t="s">
        <v>460</v>
      </c>
      <c r="M2" s="294"/>
      <c r="N2" s="294"/>
      <c r="O2" s="294"/>
      <c r="P2" s="294"/>
      <c r="Q2" s="310"/>
      <c r="R2" s="6"/>
    </row>
    <row r="3" spans="1:18" ht="15" customHeight="1" x14ac:dyDescent="0.2">
      <c r="B3" s="4"/>
      <c r="C3" s="92"/>
      <c r="D3" s="299" t="s">
        <v>809</v>
      </c>
      <c r="E3" s="300"/>
      <c r="F3" s="300"/>
      <c r="G3" s="300"/>
      <c r="H3" s="300"/>
      <c r="I3" s="300"/>
      <c r="J3" s="300"/>
      <c r="K3" s="320"/>
      <c r="L3" s="321">
        <f>D_DT[]</f>
        <v>43540</v>
      </c>
      <c r="M3" s="321"/>
      <c r="N3" s="321"/>
      <c r="O3" s="321"/>
      <c r="P3" s="321"/>
      <c r="Q3" s="322"/>
      <c r="R3" s="6"/>
    </row>
    <row r="4" spans="1:18" ht="15" customHeight="1" x14ac:dyDescent="0.25">
      <c r="B4" s="4"/>
      <c r="C4" s="92"/>
      <c r="D4" s="162" t="s">
        <v>469</v>
      </c>
      <c r="E4" s="260"/>
      <c r="F4" s="260"/>
      <c r="G4" s="260"/>
      <c r="H4" s="260"/>
      <c r="I4" s="260"/>
      <c r="J4" s="260"/>
      <c r="K4" s="261"/>
      <c r="L4" s="163" t="s">
        <v>454</v>
      </c>
      <c r="M4" s="163"/>
      <c r="N4" s="163"/>
      <c r="O4" s="163" t="s">
        <v>456</v>
      </c>
      <c r="P4" s="163"/>
      <c r="Q4" s="164"/>
      <c r="R4" s="6"/>
    </row>
    <row r="5" spans="1:18" ht="15" customHeight="1" x14ac:dyDescent="0.3">
      <c r="B5" s="7"/>
      <c r="C5" s="87"/>
      <c r="D5" s="174" t="s">
        <v>453</v>
      </c>
      <c r="E5" s="117"/>
      <c r="F5" s="117"/>
      <c r="G5" s="117"/>
      <c r="H5" s="117"/>
      <c r="I5" s="117"/>
      <c r="J5" s="117"/>
      <c r="K5" s="175"/>
      <c r="L5" s="118" t="s">
        <v>455</v>
      </c>
      <c r="M5" s="118"/>
      <c r="N5" s="118"/>
      <c r="O5" s="118" t="s">
        <v>457</v>
      </c>
      <c r="P5" s="118"/>
      <c r="Q5" s="166"/>
      <c r="R5" s="71"/>
    </row>
    <row r="6" spans="1:18" ht="15" customHeight="1" x14ac:dyDescent="0.3">
      <c r="B6" s="7"/>
      <c r="C6" s="87"/>
      <c r="D6" s="174" t="s">
        <v>846</v>
      </c>
      <c r="E6" s="117"/>
      <c r="F6" s="117"/>
      <c r="G6" s="117"/>
      <c r="H6" s="117"/>
      <c r="I6" s="117"/>
      <c r="J6" s="117"/>
      <c r="K6" s="175"/>
      <c r="L6" s="118"/>
      <c r="M6" s="118"/>
      <c r="N6" s="118"/>
      <c r="O6" s="118"/>
      <c r="P6" s="118"/>
      <c r="Q6" s="166"/>
      <c r="R6" s="71"/>
    </row>
    <row r="7" spans="1:18" ht="15" customHeight="1" x14ac:dyDescent="0.2">
      <c r="B7" s="6"/>
      <c r="C7" s="9"/>
      <c r="D7" s="172"/>
      <c r="E7" s="173"/>
      <c r="F7" s="173"/>
      <c r="G7" s="173"/>
      <c r="H7" s="173"/>
      <c r="I7" s="173"/>
      <c r="J7" s="173"/>
      <c r="K7" s="176"/>
      <c r="L7" s="305" t="s">
        <v>847</v>
      </c>
      <c r="M7" s="306"/>
      <c r="N7" s="306"/>
      <c r="O7" s="306"/>
      <c r="P7" s="306"/>
      <c r="Q7" s="307"/>
      <c r="R7" s="9"/>
    </row>
    <row r="8" spans="1:18" s="86" customFormat="1" ht="15" customHeight="1" x14ac:dyDescent="0.25">
      <c r="B8" s="84"/>
      <c r="C8" s="8"/>
      <c r="D8" s="332" t="s">
        <v>471</v>
      </c>
      <c r="E8" s="333"/>
      <c r="F8" s="333"/>
      <c r="G8" s="333"/>
      <c r="H8" s="333"/>
      <c r="I8" s="333"/>
      <c r="J8" s="333"/>
      <c r="K8" s="333"/>
      <c r="L8" s="309" t="s">
        <v>472</v>
      </c>
      <c r="M8" s="309"/>
      <c r="N8" s="309"/>
      <c r="O8" s="309"/>
      <c r="P8" s="309"/>
      <c r="Q8" s="309"/>
      <c r="R8" s="85"/>
    </row>
    <row r="9" spans="1:18" s="86" customFormat="1" ht="15" customHeight="1" x14ac:dyDescent="0.25">
      <c r="B9" s="84"/>
      <c r="C9" s="119" t="s">
        <v>434</v>
      </c>
      <c r="D9" s="303" t="s">
        <v>462</v>
      </c>
      <c r="E9" s="303" t="s">
        <v>463</v>
      </c>
      <c r="F9" s="303" t="s">
        <v>464</v>
      </c>
      <c r="G9" s="317" t="s">
        <v>106</v>
      </c>
      <c r="H9" s="303" t="s">
        <v>465</v>
      </c>
      <c r="I9" s="303" t="s">
        <v>467</v>
      </c>
      <c r="J9" s="303" t="s">
        <v>466</v>
      </c>
      <c r="K9" s="303" t="s">
        <v>468</v>
      </c>
      <c r="L9" s="323" t="s">
        <v>832</v>
      </c>
      <c r="M9" s="324"/>
      <c r="N9" s="324"/>
      <c r="O9" s="324"/>
      <c r="P9" s="324"/>
      <c r="Q9" s="325"/>
      <c r="R9" s="85"/>
    </row>
    <row r="10" spans="1:18" s="86" customFormat="1" ht="15" customHeight="1" x14ac:dyDescent="0.25">
      <c r="B10" s="84"/>
      <c r="C10" s="8"/>
      <c r="D10" s="308"/>
      <c r="E10" s="308"/>
      <c r="F10" s="308"/>
      <c r="G10" s="308"/>
      <c r="H10" s="308"/>
      <c r="I10" s="308"/>
      <c r="J10" s="308"/>
      <c r="K10" s="308"/>
      <c r="L10" s="326"/>
      <c r="M10" s="327"/>
      <c r="N10" s="327"/>
      <c r="O10" s="327"/>
      <c r="P10" s="327"/>
      <c r="Q10" s="328"/>
      <c r="R10" s="85"/>
    </row>
    <row r="11" spans="1:18" s="86" customFormat="1" ht="15" customHeight="1" x14ac:dyDescent="0.25">
      <c r="B11" s="84"/>
      <c r="C11" s="8"/>
      <c r="D11" s="309"/>
      <c r="E11" s="309"/>
      <c r="F11" s="309"/>
      <c r="G11" s="309"/>
      <c r="H11" s="309"/>
      <c r="I11" s="309"/>
      <c r="J11" s="309"/>
      <c r="K11" s="309"/>
      <c r="L11" s="329"/>
      <c r="M11" s="330"/>
      <c r="N11" s="330"/>
      <c r="O11" s="330"/>
      <c r="P11" s="330"/>
      <c r="Q11" s="331"/>
      <c r="R11" s="85"/>
    </row>
    <row r="12" spans="1:18" ht="12.75" x14ac:dyDescent="0.2">
      <c r="A12" s="120">
        <v>100</v>
      </c>
      <c r="B12" s="23"/>
      <c r="C12" s="148" t="str">
        <f>Driver!$C$20&amp; " Total"</f>
        <v>USA - All Missions Total</v>
      </c>
      <c r="D12" s="126">
        <f>IF(ISNA($A12),"",IFERROR(SUMIFS(D_D[INV],D_D[MT],4,D_D[CAT],SMS,D_D[LOC],$A12),0))</f>
        <v>365584</v>
      </c>
      <c r="E12" s="126">
        <f>IF(ISNA($A12),"",IFERROR(SUMIFS(D_D[BL],D_D[MT],4,D_D[CAT],SMS,D_D[LOC],$A12),0))</f>
        <v>81966</v>
      </c>
      <c r="F12" s="127">
        <f>IF(ISNA($A12),"",IFERROR(E12/D12,0))</f>
        <v>0.22420565451442076</v>
      </c>
      <c r="G12" s="128">
        <f>IF(ISNA($A12),"",IFERROR(SUMIFS(D_D[ADP],D_D[MT],4,D_D[CAT],SMS,D_D[LOC],$A12),0))</f>
        <v>95.33</v>
      </c>
      <c r="H12" s="126">
        <f>IF(ISNA($A12),"",IFERROR(SUMIFS(D_D[PROD_MTD],D_D[MT],4,D_D[CAT],SMS,D_D[LOC],$A12),0))</f>
        <v>51081</v>
      </c>
      <c r="I12" s="128">
        <f>IF(ISNA($A12),"",IFERROR(SUMIFS(D_D[ADCM],D_D[MT],4,D_D[CAT],SMS,D_D[LOC],$A12),0))</f>
        <v>126.39</v>
      </c>
      <c r="J12" s="126">
        <f>IF(ISNA($A12),"",IFERROR(SUMIFS(D_D[PROD_FYTD],D_D[MT],4,D_D[CAT],SMS,D_D[LOC],$A12),0))</f>
        <v>572337</v>
      </c>
      <c r="K12" s="128">
        <f>IF(ISNA($A12),"",IFERROR(SUMIFS(D_D[ADCF],D_D[MT],4,D_D[CAT],SMS,D_D[LOC],$A12),0))</f>
        <v>113.18</v>
      </c>
      <c r="L12" s="129"/>
      <c r="M12" s="129"/>
      <c r="N12" s="129"/>
      <c r="O12" s="129"/>
      <c r="P12" s="129"/>
      <c r="Q12" s="129"/>
      <c r="R12" s="6"/>
    </row>
    <row r="13" spans="1:18" ht="12.75" x14ac:dyDescent="0.2">
      <c r="A13" s="120">
        <f t="shared" ref="A13:A35" ca="1" si="0">INDEX(RO,(MATCH($C13,RO_D,0)))</f>
        <v>394</v>
      </c>
      <c r="B13" s="23">
        <v>1</v>
      </c>
      <c r="C13" s="150" t="str">
        <f t="shared" ref="C13:C14" ca="1" si="1">IFERROR(INDEX(INDIRECT(DS_RO),B13),"")</f>
        <v>Northeast District</v>
      </c>
      <c r="D13" s="89">
        <f ca="1">IF(ISNA($A13),"",IFERROR(SUMIFS(D_D[INV],D_D[MT],4,D_D[CAT],SMS,D_D[LOC],$A13),0))</f>
        <v>96720</v>
      </c>
      <c r="E13" s="89">
        <f ca="1">IF(ISNA($A13),"",IFERROR(SUMIFS(D_D[BL],D_D[MT],4,D_D[CAT],SMS,D_D[LOC],$A13),0))</f>
        <v>23444</v>
      </c>
      <c r="F13" s="91">
        <f t="shared" ref="F13" ca="1" si="2">IF(ISNA($A13),"",IFERROR(E13/D13,0))</f>
        <v>0.24239040529363109</v>
      </c>
      <c r="G13" s="90">
        <f ca="1">IF(ISNA($A13),"",IFERROR(SUMIFS(D_D[ADP],D_D[MT],4,D_D[CAT],SMS,D_D[LOC],$A13),0))</f>
        <v>99.14</v>
      </c>
      <c r="H13" s="89">
        <f ca="1">IF(ISNA($A13),"",IFERROR(SUMIFS(D_D[PROD_MTD],D_D[MT],4,D_D[CAT],SMS,D_D[LOC],$A13),0))</f>
        <v>14727</v>
      </c>
      <c r="I13" s="90">
        <f ca="1">IF(ISNA($A13),"",IFERROR(SUMIFS(D_D[ADCM],D_D[MT],4,D_D[CAT],SMS,D_D[LOC],$A13),0))</f>
        <v>124.12</v>
      </c>
      <c r="J13" s="89">
        <f ca="1">IF(ISNA($A13),"",IFERROR(SUMIFS(D_D[PROD_FYTD],D_D[MT],4,D_D[CAT],SMS,D_D[LOC],$A13),0))</f>
        <v>162985</v>
      </c>
      <c r="K13" s="90">
        <f ca="1">IF(ISNA($A13),"",IFERROR(SUMIFS(D_D[ADCF],D_D[MT],4,D_D[CAT],SMS,D_D[LOC],$A13),0))</f>
        <v>110.68</v>
      </c>
      <c r="L13" s="129"/>
      <c r="M13" s="129"/>
      <c r="N13" s="129"/>
      <c r="O13" s="129"/>
      <c r="P13" s="129"/>
      <c r="Q13" s="129"/>
      <c r="R13" s="6"/>
    </row>
    <row r="14" spans="1:18" ht="12.75" x14ac:dyDescent="0.2">
      <c r="A14" s="120" t="str">
        <f t="shared" ca="1" si="0"/>
        <v>313</v>
      </c>
      <c r="B14" s="23">
        <v>2</v>
      </c>
      <c r="C14" s="150" t="str">
        <f t="shared" ca="1" si="1"/>
        <v>Baltimore</v>
      </c>
      <c r="D14" s="89">
        <f ca="1">IF(ISNA($A14),"",IFERROR(SUMIFS(D_D[INV],D_D[MT],4,D_D[CAT],SMS,D_D[LOC],$A14),0))</f>
        <v>4750</v>
      </c>
      <c r="E14" s="89">
        <f ca="1">IF(ISNA($A14),"",IFERROR(SUMIFS(D_D[BL],D_D[MT],4,D_D[CAT],SMS,D_D[LOC],$A14),0))</f>
        <v>1179</v>
      </c>
      <c r="F14" s="91">
        <f t="shared" ref="F14" ca="1" si="3">IF(ISNA($A14),"",IFERROR(E14/D14,0))</f>
        <v>0.24821052631578946</v>
      </c>
      <c r="G14" s="90">
        <f ca="1">IF(ISNA($A14),"",IFERROR(SUMIFS(D_D[ADP],D_D[MT],4,D_D[CAT],SMS,D_D[LOC],$A14),0))</f>
        <v>101.95</v>
      </c>
      <c r="H14" s="89">
        <f ca="1">IF(ISNA($A14),"",IFERROR(SUMIFS(D_D[PROD_MTD],D_D[MT],4,D_D[CAT],SMS,D_D[LOC],$A14),0))</f>
        <v>670</v>
      </c>
      <c r="I14" s="90">
        <f ca="1">IF(ISNA($A14),"",IFERROR(SUMIFS(D_D[ADCM],D_D[MT],4,D_D[CAT],SMS,D_D[LOC],$A14),0))</f>
        <v>139.26</v>
      </c>
      <c r="J14" s="89">
        <f ca="1">IF(ISNA($A14),"",IFERROR(SUMIFS(D_D[PROD_FYTD],D_D[MT],4,D_D[CAT],SMS,D_D[LOC],$A14),0))</f>
        <v>7125</v>
      </c>
      <c r="K14" s="90">
        <f ca="1">IF(ISNA($A14),"",IFERROR(SUMIFS(D_D[ADCF],D_D[MT],4,D_D[CAT],SMS,D_D[LOC],$A14),0))</f>
        <v>128.63</v>
      </c>
      <c r="L14" s="129"/>
      <c r="M14" s="129"/>
      <c r="N14" s="129"/>
      <c r="O14" s="129"/>
      <c r="P14" s="129"/>
      <c r="Q14" s="129"/>
      <c r="R14" s="6"/>
    </row>
    <row r="15" spans="1:18" ht="12.75" x14ac:dyDescent="0.2">
      <c r="A15" s="120" t="str">
        <f t="shared" ca="1" si="0"/>
        <v>301</v>
      </c>
      <c r="B15" s="23">
        <v>3</v>
      </c>
      <c r="C15" s="150" t="str">
        <f t="shared" ref="C15:C35" ca="1" si="4">IFERROR(INDEX(INDIRECT(DS_RO),B15),"")</f>
        <v>Boston</v>
      </c>
      <c r="D15" s="89">
        <f ca="1">IF(ISNA($A15),"",IFERROR(SUMIFS(D_D[INV],D_D[MT],4,D_D[CAT],SMS,D_D[LOC],$A15),0))</f>
        <v>1882</v>
      </c>
      <c r="E15" s="89">
        <f ca="1">IF(ISNA($A15),"",IFERROR(SUMIFS(D_D[BL],D_D[MT],4,D_D[CAT],SMS,D_D[LOC],$A15),0))</f>
        <v>616</v>
      </c>
      <c r="F15" s="91">
        <f t="shared" ref="F15:F35" ca="1" si="5">IF(ISNA($A15),"",IFERROR(E15/D15,0))</f>
        <v>0.32731137088204038</v>
      </c>
      <c r="G15" s="90">
        <f ca="1">IF(ISNA($A15),"",IFERROR(SUMIFS(D_D[ADP],D_D[MT],4,D_D[CAT],SMS,D_D[LOC],$A15),0))</f>
        <v>117.88</v>
      </c>
      <c r="H15" s="89">
        <f ca="1">IF(ISNA($A15),"",IFERROR(SUMIFS(D_D[PROD_MTD],D_D[MT],4,D_D[CAT],SMS,D_D[LOC],$A15),0))</f>
        <v>427</v>
      </c>
      <c r="I15" s="90">
        <f ca="1">IF(ISNA($A15),"",IFERROR(SUMIFS(D_D[ADCM],D_D[MT],4,D_D[CAT],SMS,D_D[LOC],$A15),0))</f>
        <v>132.03</v>
      </c>
      <c r="J15" s="89">
        <f ca="1">IF(ISNA($A15),"",IFERROR(SUMIFS(D_D[PROD_FYTD],D_D[MT],4,D_D[CAT],SMS,D_D[LOC],$A15),0))</f>
        <v>5164</v>
      </c>
      <c r="K15" s="90">
        <f ca="1">IF(ISNA($A15),"",IFERROR(SUMIFS(D_D[ADCF],D_D[MT],4,D_D[CAT],SMS,D_D[LOC],$A15),0))</f>
        <v>115.39</v>
      </c>
      <c r="L15" s="129"/>
      <c r="M15" s="129"/>
      <c r="N15" s="129"/>
      <c r="O15" s="129"/>
      <c r="P15" s="129"/>
      <c r="Q15" s="129"/>
      <c r="R15" s="6"/>
    </row>
    <row r="16" spans="1:18" ht="12.75" x14ac:dyDescent="0.2">
      <c r="A16" s="120" t="str">
        <f t="shared" ca="1" si="0"/>
        <v>307</v>
      </c>
      <c r="B16" s="23">
        <v>4</v>
      </c>
      <c r="C16" s="150" t="str">
        <f t="shared" ca="1" si="4"/>
        <v>Buffalo</v>
      </c>
      <c r="D16" s="89">
        <f ca="1">IF(ISNA($A16),"",IFERROR(SUMIFS(D_D[INV],D_D[MT],4,D_D[CAT],SMS,D_D[LOC],$A16),0))</f>
        <v>2740</v>
      </c>
      <c r="E16" s="89">
        <f ca="1">IF(ISNA($A16),"",IFERROR(SUMIFS(D_D[BL],D_D[MT],4,D_D[CAT],SMS,D_D[LOC],$A16),0))</f>
        <v>708</v>
      </c>
      <c r="F16" s="91">
        <f t="shared" ca="1" si="5"/>
        <v>0.2583941605839416</v>
      </c>
      <c r="G16" s="90">
        <f ca="1">IF(ISNA($A16),"",IFERROR(SUMIFS(D_D[ADP],D_D[MT],4,D_D[CAT],SMS,D_D[LOC],$A16),0))</f>
        <v>101.07</v>
      </c>
      <c r="H16" s="89">
        <f ca="1">IF(ISNA($A16),"",IFERROR(SUMIFS(D_D[PROD_MTD],D_D[MT],4,D_D[CAT],SMS,D_D[LOC],$A16),0))</f>
        <v>470</v>
      </c>
      <c r="I16" s="90">
        <f ca="1">IF(ISNA($A16),"",IFERROR(SUMIFS(D_D[ADCM],D_D[MT],4,D_D[CAT],SMS,D_D[LOC],$A16),0))</f>
        <v>125.27</v>
      </c>
      <c r="J16" s="89">
        <f ca="1">IF(ISNA($A16),"",IFERROR(SUMIFS(D_D[PROD_FYTD],D_D[MT],4,D_D[CAT],SMS,D_D[LOC],$A16),0))</f>
        <v>5446</v>
      </c>
      <c r="K16" s="90">
        <f ca="1">IF(ISNA($A16),"",IFERROR(SUMIFS(D_D[ADCF],D_D[MT],4,D_D[CAT],SMS,D_D[LOC],$A16),0))</f>
        <v>113.26</v>
      </c>
      <c r="L16" s="129"/>
      <c r="M16" s="129"/>
      <c r="N16" s="129"/>
      <c r="O16" s="129"/>
      <c r="P16" s="129"/>
      <c r="Q16" s="129"/>
      <c r="R16" s="6"/>
    </row>
    <row r="17" spans="1:18" ht="12.75" x14ac:dyDescent="0.2">
      <c r="A17" s="120" t="str">
        <f t="shared" ca="1" si="0"/>
        <v>328</v>
      </c>
      <c r="B17" s="23">
        <v>5</v>
      </c>
      <c r="C17" s="150" t="str">
        <f t="shared" ca="1" si="4"/>
        <v>Chicago</v>
      </c>
      <c r="D17" s="89">
        <f ca="1">IF(ISNA($A17),"",IFERROR(SUMIFS(D_D[INV],D_D[MT],4,D_D[CAT],SMS,D_D[LOC],$A17),0))</f>
        <v>6051</v>
      </c>
      <c r="E17" s="89">
        <f ca="1">IF(ISNA($A17),"",IFERROR(SUMIFS(D_D[BL],D_D[MT],4,D_D[CAT],SMS,D_D[LOC],$A17),0))</f>
        <v>1737</v>
      </c>
      <c r="F17" s="91">
        <f t="shared" ca="1" si="5"/>
        <v>0.28705999008428357</v>
      </c>
      <c r="G17" s="90">
        <f ca="1">IF(ISNA($A17),"",IFERROR(SUMIFS(D_D[ADP],D_D[MT],4,D_D[CAT],SMS,D_D[LOC],$A17),0))</f>
        <v>109.25</v>
      </c>
      <c r="H17" s="89">
        <f ca="1">IF(ISNA($A17),"",IFERROR(SUMIFS(D_D[PROD_MTD],D_D[MT],4,D_D[CAT],SMS,D_D[LOC],$A17),0))</f>
        <v>917</v>
      </c>
      <c r="I17" s="90">
        <f ca="1">IF(ISNA($A17),"",IFERROR(SUMIFS(D_D[ADCM],D_D[MT],4,D_D[CAT],SMS,D_D[LOC],$A17),0))</f>
        <v>141.08000000000001</v>
      </c>
      <c r="J17" s="89">
        <f ca="1">IF(ISNA($A17),"",IFERROR(SUMIFS(D_D[PROD_FYTD],D_D[MT],4,D_D[CAT],SMS,D_D[LOC],$A17),0))</f>
        <v>9818</v>
      </c>
      <c r="K17" s="90">
        <f ca="1">IF(ISNA($A17),"",IFERROR(SUMIFS(D_D[ADCF],D_D[MT],4,D_D[CAT],SMS,D_D[LOC],$A17),0))</f>
        <v>121.89</v>
      </c>
      <c r="L17" s="129"/>
      <c r="M17" s="129"/>
      <c r="N17" s="129"/>
      <c r="O17" s="129"/>
      <c r="P17" s="129"/>
      <c r="Q17" s="129"/>
      <c r="R17" s="6"/>
    </row>
    <row r="18" spans="1:18" ht="12.75" x14ac:dyDescent="0.2">
      <c r="A18" s="120" t="str">
        <f t="shared" ca="1" si="0"/>
        <v>325</v>
      </c>
      <c r="B18" s="23">
        <v>6</v>
      </c>
      <c r="C18" s="150" t="str">
        <f t="shared" ca="1" si="4"/>
        <v>Cleveland</v>
      </c>
      <c r="D18" s="89">
        <f ca="1">IF(ISNA($A18),"",IFERROR(SUMIFS(D_D[INV],D_D[MT],4,D_D[CAT],SMS,D_D[LOC],$A18),0))</f>
        <v>12297</v>
      </c>
      <c r="E18" s="89">
        <f ca="1">IF(ISNA($A18),"",IFERROR(SUMIFS(D_D[BL],D_D[MT],4,D_D[CAT],SMS,D_D[LOC],$A18),0))</f>
        <v>2368</v>
      </c>
      <c r="F18" s="91">
        <f t="shared" ca="1" si="5"/>
        <v>0.19256729283565097</v>
      </c>
      <c r="G18" s="90">
        <f ca="1">IF(ISNA($A18),"",IFERROR(SUMIFS(D_D[ADP],D_D[MT],4,D_D[CAT],SMS,D_D[LOC],$A18),0))</f>
        <v>88.62</v>
      </c>
      <c r="H18" s="89">
        <f ca="1">IF(ISNA($A18),"",IFERROR(SUMIFS(D_D[PROD_MTD],D_D[MT],4,D_D[CAT],SMS,D_D[LOC],$A18),0))</f>
        <v>1573</v>
      </c>
      <c r="I18" s="90">
        <f ca="1">IF(ISNA($A18),"",IFERROR(SUMIFS(D_D[ADCM],D_D[MT],4,D_D[CAT],SMS,D_D[LOC],$A18),0))</f>
        <v>124.31</v>
      </c>
      <c r="J18" s="89">
        <f ca="1">IF(ISNA($A18),"",IFERROR(SUMIFS(D_D[PROD_FYTD],D_D[MT],4,D_D[CAT],SMS,D_D[LOC],$A18),0))</f>
        <v>17094</v>
      </c>
      <c r="K18" s="90">
        <f ca="1">IF(ISNA($A18),"",IFERROR(SUMIFS(D_D[ADCF],D_D[MT],4,D_D[CAT],SMS,D_D[LOC],$A18),0))</f>
        <v>113.95</v>
      </c>
      <c r="L18" s="129"/>
      <c r="M18" s="129"/>
      <c r="N18" s="129"/>
      <c r="O18" s="129"/>
      <c r="P18" s="129"/>
      <c r="Q18" s="129"/>
      <c r="R18" s="6"/>
    </row>
    <row r="19" spans="1:18" ht="12.75" x14ac:dyDescent="0.2">
      <c r="A19" s="120" t="str">
        <f t="shared" ca="1" si="0"/>
        <v>329</v>
      </c>
      <c r="B19" s="23">
        <v>7</v>
      </c>
      <c r="C19" s="150" t="str">
        <f t="shared" ca="1" si="4"/>
        <v>Detroit</v>
      </c>
      <c r="D19" s="89">
        <f ca="1">IF(ISNA($A19),"",IFERROR(SUMIFS(D_D[INV],D_D[MT],4,D_D[CAT],SMS,D_D[LOC],$A19),0))</f>
        <v>6588</v>
      </c>
      <c r="E19" s="89">
        <f ca="1">IF(ISNA($A19),"",IFERROR(SUMIFS(D_D[BL],D_D[MT],4,D_D[CAT],SMS,D_D[LOC],$A19),0))</f>
        <v>1514</v>
      </c>
      <c r="F19" s="91">
        <f t="shared" ca="1" si="5"/>
        <v>0.22981177899210686</v>
      </c>
      <c r="G19" s="90">
        <f ca="1">IF(ISNA($A19),"",IFERROR(SUMIFS(D_D[ADP],D_D[MT],4,D_D[CAT],SMS,D_D[LOC],$A19),0))</f>
        <v>101.78</v>
      </c>
      <c r="H19" s="89">
        <f ca="1">IF(ISNA($A19),"",IFERROR(SUMIFS(D_D[PROD_MTD],D_D[MT],4,D_D[CAT],SMS,D_D[LOC],$A19),0))</f>
        <v>1066</v>
      </c>
      <c r="I19" s="90">
        <f ca="1">IF(ISNA($A19),"",IFERROR(SUMIFS(D_D[ADCM],D_D[MT],4,D_D[CAT],SMS,D_D[LOC],$A19),0))</f>
        <v>125.43</v>
      </c>
      <c r="J19" s="89">
        <f ca="1">IF(ISNA($A19),"",IFERROR(SUMIFS(D_D[PROD_FYTD],D_D[MT],4,D_D[CAT],SMS,D_D[LOC],$A19),0))</f>
        <v>11696</v>
      </c>
      <c r="K19" s="90">
        <f ca="1">IF(ISNA($A19),"",IFERROR(SUMIFS(D_D[ADCF],D_D[MT],4,D_D[CAT],SMS,D_D[LOC],$A19),0))</f>
        <v>111.76</v>
      </c>
      <c r="L19" s="129"/>
      <c r="M19" s="129"/>
      <c r="N19" s="129"/>
      <c r="O19" s="129"/>
      <c r="P19" s="129"/>
      <c r="Q19" s="129"/>
      <c r="R19" s="6"/>
    </row>
    <row r="20" spans="1:18" ht="12.75" x14ac:dyDescent="0.2">
      <c r="A20" s="120" t="str">
        <f t="shared" ca="1" si="0"/>
        <v>308</v>
      </c>
      <c r="B20" s="23">
        <v>8</v>
      </c>
      <c r="C20" s="150" t="str">
        <f t="shared" ca="1" si="4"/>
        <v>Hartford</v>
      </c>
      <c r="D20" s="89">
        <f ca="1">IF(ISNA($A20),"",IFERROR(SUMIFS(D_D[INV],D_D[MT],4,D_D[CAT],SMS,D_D[LOC],$A20),0))</f>
        <v>1044</v>
      </c>
      <c r="E20" s="89">
        <f ca="1">IF(ISNA($A20),"",IFERROR(SUMIFS(D_D[BL],D_D[MT],4,D_D[CAT],SMS,D_D[LOC],$A20),0))</f>
        <v>165</v>
      </c>
      <c r="F20" s="91">
        <f t="shared" ca="1" si="5"/>
        <v>0.15804597701149425</v>
      </c>
      <c r="G20" s="90">
        <f ca="1">IF(ISNA($A20),"",IFERROR(SUMIFS(D_D[ADP],D_D[MT],4,D_D[CAT],SMS,D_D[LOC],$A20),0))</f>
        <v>82</v>
      </c>
      <c r="H20" s="89">
        <f ca="1">IF(ISNA($A20),"",IFERROR(SUMIFS(D_D[PROD_MTD],D_D[MT],4,D_D[CAT],SMS,D_D[LOC],$A20),0))</f>
        <v>158</v>
      </c>
      <c r="I20" s="90">
        <f ca="1">IF(ISNA($A20),"",IFERROR(SUMIFS(D_D[ADCM],D_D[MT],4,D_D[CAT],SMS,D_D[LOC],$A20),0))</f>
        <v>118.37</v>
      </c>
      <c r="J20" s="89">
        <f ca="1">IF(ISNA($A20),"",IFERROR(SUMIFS(D_D[PROD_FYTD],D_D[MT],4,D_D[CAT],SMS,D_D[LOC],$A20),0))</f>
        <v>1636</v>
      </c>
      <c r="K20" s="90">
        <f ca="1">IF(ISNA($A20),"",IFERROR(SUMIFS(D_D[ADCF],D_D[MT],4,D_D[CAT],SMS,D_D[LOC],$A20),0))</f>
        <v>109.98</v>
      </c>
      <c r="L20" s="129"/>
      <c r="M20" s="129"/>
      <c r="N20" s="129"/>
      <c r="O20" s="129"/>
      <c r="P20" s="129"/>
      <c r="Q20" s="129"/>
      <c r="R20" s="6"/>
    </row>
    <row r="21" spans="1:18" ht="12.75" x14ac:dyDescent="0.2">
      <c r="A21" s="120" t="str">
        <f t="shared" ca="1" si="0"/>
        <v>326</v>
      </c>
      <c r="B21" s="23">
        <v>9</v>
      </c>
      <c r="C21" s="150" t="str">
        <f t="shared" ca="1" si="4"/>
        <v>Indianapolis</v>
      </c>
      <c r="D21" s="89">
        <f ca="1">IF(ISNA($A21),"",IFERROR(SUMIFS(D_D[INV],D_D[MT],4,D_D[CAT],SMS,D_D[LOC],$A21),0))</f>
        <v>5672</v>
      </c>
      <c r="E21" s="89">
        <f ca="1">IF(ISNA($A21),"",IFERROR(SUMIFS(D_D[BL],D_D[MT],4,D_D[CAT],SMS,D_D[LOC],$A21),0))</f>
        <v>1257</v>
      </c>
      <c r="F21" s="91">
        <f t="shared" ca="1" si="5"/>
        <v>0.22161495063469674</v>
      </c>
      <c r="G21" s="90">
        <f ca="1">IF(ISNA($A21),"",IFERROR(SUMIFS(D_D[ADP],D_D[MT],4,D_D[CAT],SMS,D_D[LOC],$A21),0))</f>
        <v>94.18</v>
      </c>
      <c r="H21" s="89">
        <f ca="1">IF(ISNA($A21),"",IFERROR(SUMIFS(D_D[PROD_MTD],D_D[MT],4,D_D[CAT],SMS,D_D[LOC],$A21),0))</f>
        <v>826</v>
      </c>
      <c r="I21" s="90">
        <f ca="1">IF(ISNA($A21),"",IFERROR(SUMIFS(D_D[ADCM],D_D[MT],4,D_D[CAT],SMS,D_D[LOC],$A21),0))</f>
        <v>127.25</v>
      </c>
      <c r="J21" s="89">
        <f ca="1">IF(ISNA($A21),"",IFERROR(SUMIFS(D_D[PROD_FYTD],D_D[MT],4,D_D[CAT],SMS,D_D[LOC],$A21),0))</f>
        <v>8594</v>
      </c>
      <c r="K21" s="90">
        <f ca="1">IF(ISNA($A21),"",IFERROR(SUMIFS(D_D[ADCF],D_D[MT],4,D_D[CAT],SMS,D_D[LOC],$A21),0))</f>
        <v>122.84</v>
      </c>
      <c r="L21" s="129"/>
      <c r="M21" s="129"/>
      <c r="N21" s="129"/>
      <c r="O21" s="129"/>
      <c r="P21" s="129"/>
      <c r="Q21" s="129"/>
      <c r="R21" s="6"/>
    </row>
    <row r="22" spans="1:18" ht="12.75" x14ac:dyDescent="0.2">
      <c r="A22" s="120" t="str">
        <f t="shared" ca="1" si="0"/>
        <v>373</v>
      </c>
      <c r="B22" s="23">
        <v>10</v>
      </c>
      <c r="C22" s="150" t="str">
        <f t="shared" ca="1" si="4"/>
        <v>Manchester</v>
      </c>
      <c r="D22" s="89">
        <f ca="1">IF(ISNA($A22),"",IFERROR(SUMIFS(D_D[INV],D_D[MT],4,D_D[CAT],SMS,D_D[LOC],$A22),0))</f>
        <v>770</v>
      </c>
      <c r="E22" s="89">
        <f ca="1">IF(ISNA($A22),"",IFERROR(SUMIFS(D_D[BL],D_D[MT],4,D_D[CAT],SMS,D_D[LOC],$A22),0))</f>
        <v>252</v>
      </c>
      <c r="F22" s="91">
        <f t="shared" ca="1" si="5"/>
        <v>0.32727272727272727</v>
      </c>
      <c r="G22" s="90">
        <f ca="1">IF(ISNA($A22),"",IFERROR(SUMIFS(D_D[ADP],D_D[MT],4,D_D[CAT],SMS,D_D[LOC],$A22),0))</f>
        <v>116.96</v>
      </c>
      <c r="H22" s="89">
        <f ca="1">IF(ISNA($A22),"",IFERROR(SUMIFS(D_D[PROD_MTD],D_D[MT],4,D_D[CAT],SMS,D_D[LOC],$A22),0))</f>
        <v>170</v>
      </c>
      <c r="I22" s="90">
        <f ca="1">IF(ISNA($A22),"",IFERROR(SUMIFS(D_D[ADCM],D_D[MT],4,D_D[CAT],SMS,D_D[LOC],$A22),0))</f>
        <v>130.84</v>
      </c>
      <c r="J22" s="89">
        <f ca="1">IF(ISNA($A22),"",IFERROR(SUMIFS(D_D[PROD_FYTD],D_D[MT],4,D_D[CAT],SMS,D_D[LOC],$A22),0))</f>
        <v>1933</v>
      </c>
      <c r="K22" s="90">
        <f ca="1">IF(ISNA($A22),"",IFERROR(SUMIFS(D_D[ADCF],D_D[MT],4,D_D[CAT],SMS,D_D[LOC],$A22),0))</f>
        <v>115.64</v>
      </c>
      <c r="L22" s="129"/>
      <c r="M22" s="129"/>
      <c r="N22" s="129"/>
      <c r="O22" s="129"/>
      <c r="P22" s="129"/>
      <c r="Q22" s="129"/>
      <c r="R22" s="6"/>
    </row>
    <row r="23" spans="1:18" ht="12.75" x14ac:dyDescent="0.2">
      <c r="A23" s="120" t="str">
        <f t="shared" ca="1" si="0"/>
        <v>330</v>
      </c>
      <c r="B23" s="23">
        <v>11</v>
      </c>
      <c r="C23" s="150" t="str">
        <f t="shared" ca="1" si="4"/>
        <v>Milwaukee</v>
      </c>
      <c r="D23" s="89">
        <f ca="1">IF(ISNA($A23),"",IFERROR(SUMIFS(D_D[INV],D_D[MT],4,D_D[CAT],SMS,D_D[LOC],$A23),0))</f>
        <v>17598</v>
      </c>
      <c r="E23" s="89">
        <f ca="1">IF(ISNA($A23),"",IFERROR(SUMIFS(D_D[BL],D_D[MT],4,D_D[CAT],SMS,D_D[LOC],$A23),0))</f>
        <v>3273</v>
      </c>
      <c r="F23" s="91">
        <f t="shared" ca="1" si="5"/>
        <v>0.1859870439822707</v>
      </c>
      <c r="G23" s="90">
        <f ca="1">IF(ISNA($A23),"",IFERROR(SUMIFS(D_D[ADP],D_D[MT],4,D_D[CAT],SMS,D_D[LOC],$A23),0))</f>
        <v>86.24</v>
      </c>
      <c r="H23" s="89">
        <f ca="1">IF(ISNA($A23),"",IFERROR(SUMIFS(D_D[PROD_MTD],D_D[MT],4,D_D[CAT],SMS,D_D[LOC],$A23),0))</f>
        <v>1924</v>
      </c>
      <c r="I23" s="90">
        <f ca="1">IF(ISNA($A23),"",IFERROR(SUMIFS(D_D[ADCM],D_D[MT],4,D_D[CAT],SMS,D_D[LOC],$A23),0))</f>
        <v>115.16</v>
      </c>
      <c r="J23" s="89">
        <f ca="1">IF(ISNA($A23),"",IFERROR(SUMIFS(D_D[PROD_FYTD],D_D[MT],4,D_D[CAT],SMS,D_D[LOC],$A23),0))</f>
        <v>23608</v>
      </c>
      <c r="K23" s="90">
        <f ca="1">IF(ISNA($A23),"",IFERROR(SUMIFS(D_D[ADCF],D_D[MT],4,D_D[CAT],SMS,D_D[LOC],$A23),0))</f>
        <v>89.4</v>
      </c>
      <c r="L23" s="129"/>
      <c r="M23" s="129"/>
      <c r="N23" s="129"/>
      <c r="O23" s="129"/>
      <c r="P23" s="129"/>
      <c r="Q23" s="129"/>
      <c r="R23" s="6"/>
    </row>
    <row r="24" spans="1:18" ht="12.75" x14ac:dyDescent="0.2">
      <c r="A24" s="120" t="str">
        <f t="shared" ca="1" si="0"/>
        <v>306</v>
      </c>
      <c r="B24" s="23">
        <v>12</v>
      </c>
      <c r="C24" s="150" t="str">
        <f t="shared" ca="1" si="4"/>
        <v>New York</v>
      </c>
      <c r="D24" s="89">
        <f ca="1">IF(ISNA($A24),"",IFERROR(SUMIFS(D_D[INV],D_D[MT],4,D_D[CAT],SMS,D_D[LOC],$A24),0))</f>
        <v>3547</v>
      </c>
      <c r="E24" s="89">
        <f ca="1">IF(ISNA($A24),"",IFERROR(SUMIFS(D_D[BL],D_D[MT],4,D_D[CAT],SMS,D_D[LOC],$A24),0))</f>
        <v>1107</v>
      </c>
      <c r="F24" s="91">
        <f t="shared" ca="1" si="5"/>
        <v>0.31209472793910348</v>
      </c>
      <c r="G24" s="90">
        <f ca="1">IF(ISNA($A24),"",IFERROR(SUMIFS(D_D[ADP],D_D[MT],4,D_D[CAT],SMS,D_D[LOC],$A24),0))</f>
        <v>117.24</v>
      </c>
      <c r="H24" s="89">
        <f ca="1">IF(ISNA($A24),"",IFERROR(SUMIFS(D_D[PROD_MTD],D_D[MT],4,D_D[CAT],SMS,D_D[LOC],$A24),0))</f>
        <v>628</v>
      </c>
      <c r="I24" s="90">
        <f ca="1">IF(ISNA($A24),"",IFERROR(SUMIFS(D_D[ADCM],D_D[MT],4,D_D[CAT],SMS,D_D[LOC],$A24),0))</f>
        <v>131.16</v>
      </c>
      <c r="J24" s="89">
        <f ca="1">IF(ISNA($A24),"",IFERROR(SUMIFS(D_D[PROD_FYTD],D_D[MT],4,D_D[CAT],SMS,D_D[LOC],$A24),0))</f>
        <v>6924</v>
      </c>
      <c r="K24" s="90">
        <f ca="1">IF(ISNA($A24),"",IFERROR(SUMIFS(D_D[ADCF],D_D[MT],4,D_D[CAT],SMS,D_D[LOC],$A24),0))</f>
        <v>124.68</v>
      </c>
      <c r="L24" s="129"/>
      <c r="M24" s="129"/>
      <c r="N24" s="129"/>
      <c r="O24" s="129"/>
      <c r="P24" s="129"/>
      <c r="Q24" s="129"/>
      <c r="R24" s="6"/>
    </row>
    <row r="25" spans="1:18" ht="12.75" x14ac:dyDescent="0.2">
      <c r="A25" s="120" t="str">
        <f t="shared" ca="1" si="0"/>
        <v>309</v>
      </c>
      <c r="B25" s="23">
        <v>13</v>
      </c>
      <c r="C25" s="150" t="str">
        <f t="shared" ca="1" si="4"/>
        <v>Newark</v>
      </c>
      <c r="D25" s="89">
        <f ca="1">IF(ISNA($A25),"",IFERROR(SUMIFS(D_D[INV],D_D[MT],4,D_D[CAT],SMS,D_D[LOC],$A25),0))</f>
        <v>2448</v>
      </c>
      <c r="E25" s="89">
        <f ca="1">IF(ISNA($A25),"",IFERROR(SUMIFS(D_D[BL],D_D[MT],4,D_D[CAT],SMS,D_D[LOC],$A25),0))</f>
        <v>626</v>
      </c>
      <c r="F25" s="91">
        <f t="shared" ca="1" si="5"/>
        <v>0.25571895424836599</v>
      </c>
      <c r="G25" s="90">
        <f ca="1">IF(ISNA($A25),"",IFERROR(SUMIFS(D_D[ADP],D_D[MT],4,D_D[CAT],SMS,D_D[LOC],$A25),0))</f>
        <v>104.14</v>
      </c>
      <c r="H25" s="89">
        <f ca="1">IF(ISNA($A25),"",IFERROR(SUMIFS(D_D[PROD_MTD],D_D[MT],4,D_D[CAT],SMS,D_D[LOC],$A25),0))</f>
        <v>369</v>
      </c>
      <c r="I25" s="90">
        <f ca="1">IF(ISNA($A25),"",IFERROR(SUMIFS(D_D[ADCM],D_D[MT],4,D_D[CAT],SMS,D_D[LOC],$A25),0))</f>
        <v>135.80000000000001</v>
      </c>
      <c r="J25" s="89">
        <f ca="1">IF(ISNA($A25),"",IFERROR(SUMIFS(D_D[PROD_FYTD],D_D[MT],4,D_D[CAT],SMS,D_D[LOC],$A25),0))</f>
        <v>3959</v>
      </c>
      <c r="K25" s="90">
        <f ca="1">IF(ISNA($A25),"",IFERROR(SUMIFS(D_D[ADCF],D_D[MT],4,D_D[CAT],SMS,D_D[LOC],$A25),0))</f>
        <v>127.12</v>
      </c>
      <c r="L25" s="129"/>
      <c r="M25" s="129"/>
      <c r="N25" s="129"/>
      <c r="O25" s="129"/>
      <c r="P25" s="129"/>
      <c r="Q25" s="129"/>
      <c r="R25" s="6"/>
    </row>
    <row r="26" spans="1:18" ht="12.75" x14ac:dyDescent="0.2">
      <c r="A26" s="120" t="str">
        <f t="shared" ca="1" si="0"/>
        <v>310</v>
      </c>
      <c r="B26" s="23">
        <v>14</v>
      </c>
      <c r="C26" s="150" t="str">
        <f t="shared" ca="1" si="4"/>
        <v>Philadelphia</v>
      </c>
      <c r="D26" s="89">
        <f ca="1">IF(ISNA($A26),"",IFERROR(SUMIFS(D_D[INV],D_D[MT],4,D_D[CAT],SMS,D_D[LOC],$A26),0))</f>
        <v>16719</v>
      </c>
      <c r="E26" s="89">
        <f ca="1">IF(ISNA($A26),"",IFERROR(SUMIFS(D_D[BL],D_D[MT],4,D_D[CAT],SMS,D_D[LOC],$A26),0))</f>
        <v>4872</v>
      </c>
      <c r="F26" s="91">
        <f t="shared" ca="1" si="5"/>
        <v>0.29140498833662298</v>
      </c>
      <c r="G26" s="90">
        <f ca="1">IF(ISNA($A26),"",IFERROR(SUMIFS(D_D[ADP],D_D[MT],4,D_D[CAT],SMS,D_D[LOC],$A26),0))</f>
        <v>106.13</v>
      </c>
      <c r="H26" s="89">
        <f ca="1">IF(ISNA($A26),"",IFERROR(SUMIFS(D_D[PROD_MTD],D_D[MT],4,D_D[CAT],SMS,D_D[LOC],$A26),0))</f>
        <v>2688</v>
      </c>
      <c r="I26" s="90">
        <f ca="1">IF(ISNA($A26),"",IFERROR(SUMIFS(D_D[ADCM],D_D[MT],4,D_D[CAT],SMS,D_D[LOC],$A26),0))</f>
        <v>133.24</v>
      </c>
      <c r="J26" s="89">
        <f ca="1">IF(ISNA($A26),"",IFERROR(SUMIFS(D_D[PROD_FYTD],D_D[MT],4,D_D[CAT],SMS,D_D[LOC],$A26),0))</f>
        <v>28339</v>
      </c>
      <c r="K26" s="90">
        <f ca="1">IF(ISNA($A26),"",IFERROR(SUMIFS(D_D[ADCF],D_D[MT],4,D_D[CAT],SMS,D_D[LOC],$A26),0))</f>
        <v>115.47</v>
      </c>
      <c r="L26" s="129"/>
      <c r="M26" s="129"/>
      <c r="N26" s="129"/>
      <c r="O26" s="129"/>
      <c r="P26" s="129"/>
      <c r="Q26" s="129"/>
      <c r="R26" s="6"/>
    </row>
    <row r="27" spans="1:18" ht="12.75" x14ac:dyDescent="0.2">
      <c r="A27" s="120" t="str">
        <f t="shared" ca="1" si="0"/>
        <v>311</v>
      </c>
      <c r="B27" s="23">
        <v>15</v>
      </c>
      <c r="C27" s="150" t="str">
        <f t="shared" ca="1" si="4"/>
        <v>Pittsburgh</v>
      </c>
      <c r="D27" s="89">
        <f ca="1">IF(ISNA($A27),"",IFERROR(SUMIFS(D_D[INV],D_D[MT],4,D_D[CAT],SMS,D_D[LOC],$A27),0))</f>
        <v>4932</v>
      </c>
      <c r="E27" s="89">
        <f ca="1">IF(ISNA($A27),"",IFERROR(SUMIFS(D_D[BL],D_D[MT],4,D_D[CAT],SMS,D_D[LOC],$A27),0))</f>
        <v>1218</v>
      </c>
      <c r="F27" s="91">
        <f t="shared" ca="1" si="5"/>
        <v>0.24695863746958638</v>
      </c>
      <c r="G27" s="90">
        <f ca="1">IF(ISNA($A27),"",IFERROR(SUMIFS(D_D[ADP],D_D[MT],4,D_D[CAT],SMS,D_D[LOC],$A27),0))</f>
        <v>99.91</v>
      </c>
      <c r="H27" s="89">
        <f ca="1">IF(ISNA($A27),"",IFERROR(SUMIFS(D_D[PROD_MTD],D_D[MT],4,D_D[CAT],SMS,D_D[LOC],$A27),0))</f>
        <v>652</v>
      </c>
      <c r="I27" s="90">
        <f ca="1">IF(ISNA($A27),"",IFERROR(SUMIFS(D_D[ADCM],D_D[MT],4,D_D[CAT],SMS,D_D[LOC],$A27),0))</f>
        <v>124.9</v>
      </c>
      <c r="J27" s="89">
        <f ca="1">IF(ISNA($A27),"",IFERROR(SUMIFS(D_D[PROD_FYTD],D_D[MT],4,D_D[CAT],SMS,D_D[LOC],$A27),0))</f>
        <v>7452</v>
      </c>
      <c r="K27" s="90">
        <f ca="1">IF(ISNA($A27),"",IFERROR(SUMIFS(D_D[ADCF],D_D[MT],4,D_D[CAT],SMS,D_D[LOC],$A27),0))</f>
        <v>123.06</v>
      </c>
      <c r="L27" s="129"/>
      <c r="M27" s="129"/>
      <c r="N27" s="129"/>
      <c r="O27" s="129"/>
      <c r="P27" s="129"/>
      <c r="Q27" s="129"/>
      <c r="R27" s="6"/>
    </row>
    <row r="28" spans="1:18" ht="12.75" x14ac:dyDescent="0.2">
      <c r="A28" s="120" t="str">
        <f t="shared" ca="1" si="0"/>
        <v>304</v>
      </c>
      <c r="B28" s="23">
        <v>16</v>
      </c>
      <c r="C28" s="150" t="str">
        <f t="shared" ca="1" si="4"/>
        <v>Providence</v>
      </c>
      <c r="D28" s="89">
        <f ca="1">IF(ISNA($A28),"",IFERROR(SUMIFS(D_D[INV],D_D[MT],4,D_D[CAT],SMS,D_D[LOC],$A28),0))</f>
        <v>2224</v>
      </c>
      <c r="E28" s="89">
        <f ca="1">IF(ISNA($A28),"",IFERROR(SUMIFS(D_D[BL],D_D[MT],4,D_D[CAT],SMS,D_D[LOC],$A28),0))</f>
        <v>517</v>
      </c>
      <c r="F28" s="91">
        <f t="shared" ca="1" si="5"/>
        <v>0.23246402877697842</v>
      </c>
      <c r="G28" s="90">
        <f ca="1">IF(ISNA($A28),"",IFERROR(SUMIFS(D_D[ADP],D_D[MT],4,D_D[CAT],SMS,D_D[LOC],$A28),0))</f>
        <v>96.14</v>
      </c>
      <c r="H28" s="89">
        <f ca="1">IF(ISNA($A28),"",IFERROR(SUMIFS(D_D[PROD_MTD],D_D[MT],4,D_D[CAT],SMS,D_D[LOC],$A28),0))</f>
        <v>933</v>
      </c>
      <c r="I28" s="90">
        <f ca="1">IF(ISNA($A28),"",IFERROR(SUMIFS(D_D[ADCM],D_D[MT],4,D_D[CAT],SMS,D_D[LOC],$A28),0))</f>
        <v>67.900000000000006</v>
      </c>
      <c r="J28" s="89">
        <f ca="1">IF(ISNA($A28),"",IFERROR(SUMIFS(D_D[PROD_FYTD],D_D[MT],4,D_D[CAT],SMS,D_D[LOC],$A28),0))</f>
        <v>10264</v>
      </c>
      <c r="K28" s="90">
        <f ca="1">IF(ISNA($A28),"",IFERROR(SUMIFS(D_D[ADCF],D_D[MT],4,D_D[CAT],SMS,D_D[LOC],$A28),0))</f>
        <v>72.08</v>
      </c>
      <c r="L28" s="129"/>
      <c r="M28" s="129"/>
      <c r="N28" s="129"/>
      <c r="O28" s="129"/>
      <c r="P28" s="129"/>
      <c r="Q28" s="129"/>
      <c r="R28" s="6"/>
    </row>
    <row r="29" spans="1:18" ht="12.75" x14ac:dyDescent="0.2">
      <c r="A29" s="120" t="str">
        <f t="shared" ca="1" si="0"/>
        <v>376</v>
      </c>
      <c r="B29" s="23">
        <v>17</v>
      </c>
      <c r="C29" s="150" t="str">
        <f t="shared" ca="1" si="4"/>
        <v>St. Louis RMC</v>
      </c>
      <c r="D29" s="89">
        <f ca="1">IF(ISNA($A29),"",IFERROR(SUMIFS(D_D[INV],D_D[MT],4,D_D[CAT],SMS,D_D[LOC],$A29),0))</f>
        <v>0</v>
      </c>
      <c r="E29" s="89">
        <f ca="1">IF(ISNA($A29),"",IFERROR(SUMIFS(D_D[BL],D_D[MT],4,D_D[CAT],SMS,D_D[LOC],$A29),0))</f>
        <v>0</v>
      </c>
      <c r="F29" s="91">
        <f t="shared" ca="1" si="5"/>
        <v>0</v>
      </c>
      <c r="G29" s="90">
        <f ca="1">IF(ISNA($A29),"",IFERROR(SUMIFS(D_D[ADP],D_D[MT],4,D_D[CAT],SMS,D_D[LOC],$A29),0))</f>
        <v>0</v>
      </c>
      <c r="H29" s="89">
        <f ca="1">IF(ISNA($A29),"",IFERROR(SUMIFS(D_D[PROD_MTD],D_D[MT],4,D_D[CAT],SMS,D_D[LOC],$A29),0))</f>
        <v>0</v>
      </c>
      <c r="I29" s="90">
        <f ca="1">IF(ISNA($A29),"",IFERROR(SUMIFS(D_D[ADCM],D_D[MT],4,D_D[CAT],SMS,D_D[LOC],$A29),0))</f>
        <v>0</v>
      </c>
      <c r="J29" s="89">
        <f ca="1">IF(ISNA($A29),"",IFERROR(SUMIFS(D_D[PROD_FYTD],D_D[MT],4,D_D[CAT],SMS,D_D[LOC],$A29),0))</f>
        <v>3</v>
      </c>
      <c r="K29" s="90">
        <f ca="1">IF(ISNA($A29),"",IFERROR(SUMIFS(D_D[ADCF],D_D[MT],4,D_D[CAT],SMS,D_D[LOC],$A29),0))</f>
        <v>76</v>
      </c>
      <c r="L29" s="129"/>
      <c r="M29" s="129"/>
      <c r="N29" s="129"/>
      <c r="O29" s="129"/>
      <c r="P29" s="129"/>
      <c r="Q29" s="129"/>
      <c r="R29" s="6"/>
    </row>
    <row r="30" spans="1:18" ht="12.75" x14ac:dyDescent="0.2">
      <c r="A30" s="120" t="str">
        <f t="shared" ca="1" si="0"/>
        <v>331</v>
      </c>
      <c r="B30" s="23">
        <v>18</v>
      </c>
      <c r="C30" s="150" t="str">
        <f t="shared" ca="1" si="4"/>
        <v>St. Louis</v>
      </c>
      <c r="D30" s="89">
        <f ca="1">IF(ISNA($A30),"",IFERROR(SUMIFS(D_D[INV],D_D[MT],4,D_D[CAT],SMS,D_D[LOC],$A30),0))</f>
        <v>4898</v>
      </c>
      <c r="E30" s="89">
        <f ca="1">IF(ISNA($A30),"",IFERROR(SUMIFS(D_D[BL],D_D[MT],4,D_D[CAT],SMS,D_D[LOC],$A30),0))</f>
        <v>1244</v>
      </c>
      <c r="F30" s="91">
        <f t="shared" ca="1" si="5"/>
        <v>0.25398121682319313</v>
      </c>
      <c r="G30" s="90">
        <f ca="1">IF(ISNA($A30),"",IFERROR(SUMIFS(D_D[ADP],D_D[MT],4,D_D[CAT],SMS,D_D[LOC],$A30),0))</f>
        <v>105.84</v>
      </c>
      <c r="H30" s="89">
        <f ca="1">IF(ISNA($A30),"",IFERROR(SUMIFS(D_D[PROD_MTD],D_D[MT],4,D_D[CAT],SMS,D_D[LOC],$A30),0))</f>
        <v>791</v>
      </c>
      <c r="I30" s="90">
        <f ca="1">IF(ISNA($A30),"",IFERROR(SUMIFS(D_D[ADCM],D_D[MT],4,D_D[CAT],SMS,D_D[LOC],$A30),0))</f>
        <v>126.69</v>
      </c>
      <c r="J30" s="89">
        <f ca="1">IF(ISNA($A30),"",IFERROR(SUMIFS(D_D[PROD_FYTD],D_D[MT],4,D_D[CAT],SMS,D_D[LOC],$A30),0))</f>
        <v>8699</v>
      </c>
      <c r="K30" s="90">
        <f ca="1">IF(ISNA($A30),"",IFERROR(SUMIFS(D_D[ADCF],D_D[MT],4,D_D[CAT],SMS,D_D[LOC],$A30),0))</f>
        <v>113.78</v>
      </c>
      <c r="L30" s="129"/>
      <c r="M30" s="129"/>
      <c r="N30" s="129"/>
      <c r="O30" s="129"/>
      <c r="P30" s="129"/>
      <c r="Q30" s="129"/>
      <c r="R30" s="6"/>
    </row>
    <row r="31" spans="1:18" ht="12.75" x14ac:dyDescent="0.2">
      <c r="A31" s="120" t="str">
        <f t="shared" ca="1" si="0"/>
        <v>402</v>
      </c>
      <c r="B31" s="23">
        <v>19</v>
      </c>
      <c r="C31" s="150" t="str">
        <f t="shared" ca="1" si="4"/>
        <v>Togus</v>
      </c>
      <c r="D31" s="89">
        <f ca="1">IF(ISNA($A31),"",IFERROR(SUMIFS(D_D[INV],D_D[MT],4,D_D[CAT],SMS,D_D[LOC],$A31),0))</f>
        <v>1403</v>
      </c>
      <c r="E31" s="89">
        <f ca="1">IF(ISNA($A31),"",IFERROR(SUMIFS(D_D[BL],D_D[MT],4,D_D[CAT],SMS,D_D[LOC],$A31),0))</f>
        <v>296</v>
      </c>
      <c r="F31" s="91">
        <f t="shared" ca="1" si="5"/>
        <v>0.21097647897362795</v>
      </c>
      <c r="G31" s="90">
        <f ca="1">IF(ISNA($A31),"",IFERROR(SUMIFS(D_D[ADP],D_D[MT],4,D_D[CAT],SMS,D_D[LOC],$A31),0))</f>
        <v>95.62</v>
      </c>
      <c r="H31" s="89">
        <f ca="1">IF(ISNA($A31),"",IFERROR(SUMIFS(D_D[PROD_MTD],D_D[MT],4,D_D[CAT],SMS,D_D[LOC],$A31),0))</f>
        <v>203</v>
      </c>
      <c r="I31" s="90">
        <f ca="1">IF(ISNA($A31),"",IFERROR(SUMIFS(D_D[ADCM],D_D[MT],4,D_D[CAT],SMS,D_D[LOC],$A31),0))</f>
        <v>122.34</v>
      </c>
      <c r="J31" s="89">
        <f ca="1">IF(ISNA($A31),"",IFERROR(SUMIFS(D_D[PROD_FYTD],D_D[MT],4,D_D[CAT],SMS,D_D[LOC],$A31),0))</f>
        <v>2366</v>
      </c>
      <c r="K31" s="90">
        <f ca="1">IF(ISNA($A31),"",IFERROR(SUMIFS(D_D[ADCF],D_D[MT],4,D_D[CAT],SMS,D_D[LOC],$A31),0))</f>
        <v>116.38</v>
      </c>
      <c r="L31" s="129"/>
      <c r="M31" s="129"/>
      <c r="N31" s="129"/>
      <c r="O31" s="129"/>
      <c r="P31" s="129"/>
      <c r="Q31" s="129"/>
      <c r="R31" s="6"/>
    </row>
    <row r="32" spans="1:18" ht="12.75" x14ac:dyDescent="0.2">
      <c r="A32" s="120" t="str">
        <f t="shared" ca="1" si="0"/>
        <v>372</v>
      </c>
      <c r="B32" s="23">
        <v>20</v>
      </c>
      <c r="C32" s="150" t="str">
        <f t="shared" ca="1" si="4"/>
        <v>Washington</v>
      </c>
      <c r="D32" s="89">
        <f ca="1">IF(ISNA($A32),"",IFERROR(SUMIFS(D_D[INV],D_D[MT],4,D_D[CAT],SMS,D_D[LOC],$A32),0))</f>
        <v>309</v>
      </c>
      <c r="E32" s="89">
        <f ca="1">IF(ISNA($A32),"",IFERROR(SUMIFS(D_D[BL],D_D[MT],4,D_D[CAT],SMS,D_D[LOC],$A32),0))</f>
        <v>146</v>
      </c>
      <c r="F32" s="91">
        <f t="shared" ca="1" si="5"/>
        <v>0.47249190938511326</v>
      </c>
      <c r="G32" s="90">
        <f ca="1">IF(ISNA($A32),"",IFERROR(SUMIFS(D_D[ADP],D_D[MT],4,D_D[CAT],SMS,D_D[LOC],$A32),0))</f>
        <v>122.82</v>
      </c>
      <c r="H32" s="89">
        <f ca="1">IF(ISNA($A32),"",IFERROR(SUMIFS(D_D[PROD_MTD],D_D[MT],4,D_D[CAT],SMS,D_D[LOC],$A32),0))</f>
        <v>63</v>
      </c>
      <c r="I32" s="90">
        <f ca="1">IF(ISNA($A32),"",IFERROR(SUMIFS(D_D[ADCM],D_D[MT],4,D_D[CAT],SMS,D_D[LOC],$A32),0))</f>
        <v>83.95</v>
      </c>
      <c r="J32" s="89">
        <f ca="1">IF(ISNA($A32),"",IFERROR(SUMIFS(D_D[PROD_FYTD],D_D[MT],4,D_D[CAT],SMS,D_D[LOC],$A32),0))</f>
        <v>826</v>
      </c>
      <c r="K32" s="90">
        <f ca="1">IF(ISNA($A32),"",IFERROR(SUMIFS(D_D[ADCF],D_D[MT],4,D_D[CAT],SMS,D_D[LOC],$A32),0))</f>
        <v>81.72</v>
      </c>
      <c r="L32" s="129"/>
      <c r="M32" s="129"/>
      <c r="N32" s="129"/>
      <c r="O32" s="129"/>
      <c r="P32" s="129"/>
      <c r="Q32" s="129"/>
      <c r="R32" s="6"/>
    </row>
    <row r="33" spans="1:18" ht="12.75" x14ac:dyDescent="0.2">
      <c r="A33" s="120" t="str">
        <f t="shared" ca="1" si="0"/>
        <v>405</v>
      </c>
      <c r="B33" s="23">
        <v>21</v>
      </c>
      <c r="C33" s="150" t="str">
        <f t="shared" ca="1" si="4"/>
        <v>White River Junction</v>
      </c>
      <c r="D33" s="89">
        <f ca="1">IF(ISNA($A33),"",IFERROR(SUMIFS(D_D[INV],D_D[MT],4,D_D[CAT],SMS,D_D[LOC],$A33),0))</f>
        <v>294</v>
      </c>
      <c r="E33" s="89">
        <f ca="1">IF(ISNA($A33),"",IFERROR(SUMIFS(D_D[BL],D_D[MT],4,D_D[CAT],SMS,D_D[LOC],$A33),0))</f>
        <v>135</v>
      </c>
      <c r="F33" s="91">
        <f t="shared" ca="1" si="5"/>
        <v>0.45918367346938777</v>
      </c>
      <c r="G33" s="90">
        <f ca="1">IF(ISNA($A33),"",IFERROR(SUMIFS(D_D[ADP],D_D[MT],4,D_D[CAT],SMS,D_D[LOC],$A33),0))</f>
        <v>142.85</v>
      </c>
      <c r="H33" s="89">
        <f ca="1">IF(ISNA($A33),"",IFERROR(SUMIFS(D_D[PROD_MTD],D_D[MT],4,D_D[CAT],SMS,D_D[LOC],$A33),0))</f>
        <v>70</v>
      </c>
      <c r="I33" s="90">
        <f ca="1">IF(ISNA($A33),"",IFERROR(SUMIFS(D_D[ADCM],D_D[MT],4,D_D[CAT],SMS,D_D[LOC],$A33),0))</f>
        <v>117.47</v>
      </c>
      <c r="J33" s="89">
        <f ca="1">IF(ISNA($A33),"",IFERROR(SUMIFS(D_D[PROD_FYTD],D_D[MT],4,D_D[CAT],SMS,D_D[LOC],$A33),0))</f>
        <v>696</v>
      </c>
      <c r="K33" s="90">
        <f ca="1">IF(ISNA($A33),"",IFERROR(SUMIFS(D_D[ADCF],D_D[MT],4,D_D[CAT],SMS,D_D[LOC],$A33),0))</f>
        <v>127.65</v>
      </c>
      <c r="L33" s="129"/>
      <c r="M33" s="129"/>
      <c r="N33" s="129"/>
      <c r="O33" s="129"/>
      <c r="P33" s="129"/>
      <c r="Q33" s="129"/>
      <c r="R33" s="6"/>
    </row>
    <row r="34" spans="1:18" ht="12.75" x14ac:dyDescent="0.2">
      <c r="A34" s="120" t="str">
        <f t="shared" ca="1" si="0"/>
        <v>460</v>
      </c>
      <c r="B34" s="23">
        <v>22</v>
      </c>
      <c r="C34" s="150" t="str">
        <f t="shared" ca="1" si="4"/>
        <v>Wilmington</v>
      </c>
      <c r="D34" s="89">
        <f ca="1">IF(ISNA($A34),"",IFERROR(SUMIFS(D_D[INV],D_D[MT],4,D_D[CAT],SMS,D_D[LOC],$A34),0))</f>
        <v>554</v>
      </c>
      <c r="E34" s="89">
        <f ca="1">IF(ISNA($A34),"",IFERROR(SUMIFS(D_D[BL],D_D[MT],4,D_D[CAT],SMS,D_D[LOC],$A34),0))</f>
        <v>214</v>
      </c>
      <c r="F34" s="91">
        <f t="shared" ca="1" si="5"/>
        <v>0.38628158844765342</v>
      </c>
      <c r="G34" s="90">
        <f ca="1">IF(ISNA($A34),"",IFERROR(SUMIFS(D_D[ADP],D_D[MT],4,D_D[CAT],SMS,D_D[LOC],$A34),0))</f>
        <v>130.54</v>
      </c>
      <c r="H34" s="89">
        <f ca="1">IF(ISNA($A34),"",IFERROR(SUMIFS(D_D[PROD_MTD],D_D[MT],4,D_D[CAT],SMS,D_D[LOC],$A34),0))</f>
        <v>129</v>
      </c>
      <c r="I34" s="90">
        <f ca="1">IF(ISNA($A34),"",IFERROR(SUMIFS(D_D[ADCM],D_D[MT],4,D_D[CAT],SMS,D_D[LOC],$A34),0))</f>
        <v>148.09</v>
      </c>
      <c r="J34" s="89">
        <f ca="1">IF(ISNA($A34),"",IFERROR(SUMIFS(D_D[PROD_FYTD],D_D[MT],4,D_D[CAT],SMS,D_D[LOC],$A34),0))</f>
        <v>1343</v>
      </c>
      <c r="K34" s="90">
        <f ca="1">IF(ISNA($A34),"",IFERROR(SUMIFS(D_D[ADCF],D_D[MT],4,D_D[CAT],SMS,D_D[LOC],$A34),0))</f>
        <v>127.75</v>
      </c>
      <c r="L34" s="129"/>
      <c r="M34" s="129"/>
      <c r="N34" s="129"/>
      <c r="O34" s="129"/>
      <c r="P34" s="129"/>
      <c r="Q34" s="129"/>
      <c r="R34" s="6"/>
    </row>
    <row r="35" spans="1:18" ht="12.75" x14ac:dyDescent="0.2">
      <c r="A35" s="120" t="e">
        <f t="shared" ca="1" si="0"/>
        <v>#N/A</v>
      </c>
      <c r="B35" s="23">
        <v>23</v>
      </c>
      <c r="C35" s="150" t="str">
        <f t="shared" ca="1" si="4"/>
        <v/>
      </c>
      <c r="D35" s="89" t="str">
        <f ca="1">IF(ISNA($A35),"",IFERROR(SUMIFS(D_D[INV],D_D[MT],4,D_D[CAT],SMS,D_D[LOC],$A35),0))</f>
        <v/>
      </c>
      <c r="E35" s="89" t="str">
        <f ca="1">IF(ISNA($A35),"",IFERROR(SUMIFS(D_D[BL],D_D[MT],4,D_D[CAT],SMS,D_D[LOC],$A35),0))</f>
        <v/>
      </c>
      <c r="F35" s="91" t="str">
        <f t="shared" ca="1" si="5"/>
        <v/>
      </c>
      <c r="G35" s="90" t="str">
        <f ca="1">IF(ISNA($A35),"",IFERROR(SUMIFS(D_D[ADP],D_D[MT],4,D_D[CAT],SMS,D_D[LOC],$A35),0))</f>
        <v/>
      </c>
      <c r="H35" s="89" t="str">
        <f ca="1">IF(ISNA($A35),"",IFERROR(SUMIFS(D_D[PROD_MTD],D_D[MT],4,D_D[CAT],SMS,D_D[LOC],$A35),0))</f>
        <v/>
      </c>
      <c r="I35" s="90" t="str">
        <f ca="1">IF(ISNA($A35),"",IFERROR(SUMIFS(D_D[ADCM],D_D[MT],4,D_D[CAT],SMS,D_D[LOC],$A35),0))</f>
        <v/>
      </c>
      <c r="J35" s="89" t="str">
        <f ca="1">IF(ISNA($A35),"",IFERROR(SUMIFS(D_D[PROD_FYTD],D_D[MT],4,D_D[CAT],SMS,D_D[LOC],$A35),0))</f>
        <v/>
      </c>
      <c r="K35" s="90" t="str">
        <f ca="1">IF(ISNA($A35),"",IFERROR(SUMIFS(D_D[ADCF],D_D[MT],4,D_D[CAT],SMS,D_D[LOC],$A35),0))</f>
        <v/>
      </c>
      <c r="L35" s="129"/>
      <c r="M35" s="129"/>
      <c r="N35" s="129"/>
      <c r="O35" s="129"/>
      <c r="P35" s="129"/>
      <c r="Q35" s="129"/>
      <c r="R35" s="6"/>
    </row>
    <row r="36" spans="1:18" ht="8.1" customHeight="1" x14ac:dyDescent="0.2">
      <c r="B36" s="4"/>
      <c r="C36" s="8"/>
      <c r="D36" s="5"/>
      <c r="E36" s="5"/>
      <c r="F36" s="5"/>
      <c r="G36" s="5"/>
      <c r="H36" s="5"/>
      <c r="I36" s="5"/>
      <c r="J36" s="5"/>
      <c r="K36" s="5"/>
      <c r="L36" s="5"/>
      <c r="M36" s="5"/>
      <c r="N36" s="5"/>
      <c r="O36" s="5"/>
      <c r="P36" s="5"/>
      <c r="Q36" s="5"/>
      <c r="R36" s="6"/>
    </row>
    <row r="37" spans="1:18" ht="12.75" hidden="1" customHeight="1" x14ac:dyDescent="0.2"/>
    <row r="38" spans="1:18" ht="12.75" hidden="1" customHeight="1" x14ac:dyDescent="0.2"/>
    <row r="39" spans="1:18" ht="12.75" hidden="1" customHeight="1" x14ac:dyDescent="0.2"/>
  </sheetData>
  <sheetProtection autoFilter="0"/>
  <protectedRanges>
    <protectedRange sqref="D13:K35" name="SOJ"/>
    <protectedRange sqref="D12:K12" name="SOJ_1"/>
  </protectedRanges>
  <mergeCells count="16">
    <mergeCell ref="D2:K2"/>
    <mergeCell ref="L2:Q2"/>
    <mergeCell ref="D3:K3"/>
    <mergeCell ref="L3:Q3"/>
    <mergeCell ref="D9:D11"/>
    <mergeCell ref="E9:E11"/>
    <mergeCell ref="F9:F11"/>
    <mergeCell ref="G9:G11"/>
    <mergeCell ref="H9:H11"/>
    <mergeCell ref="I9:I11"/>
    <mergeCell ref="J9:J11"/>
    <mergeCell ref="K9:K11"/>
    <mergeCell ref="L9:Q11"/>
    <mergeCell ref="D8:K8"/>
    <mergeCell ref="L8:Q8"/>
    <mergeCell ref="L7:Q7"/>
  </mergeCells>
  <conditionalFormatting sqref="B1:R1 B5:B6 B36:R36 B4:R4 B2:D3 L2:R3 B7:K7 B10:C11 B9:D9 G9 L12:R35 L9 B8:C8 R5:R11 B12:B35">
    <cfRule type="expression" dxfId="518" priority="11">
      <formula>IF(OR(ISERROR(B1),B1="ERROR"),TRUE,FALSE)</formula>
    </cfRule>
  </conditionalFormatting>
  <conditionalFormatting sqref="C5:C6">
    <cfRule type="expression" dxfId="517" priority="10">
      <formula>IF(OR(ISERROR(C5),C5="ERROR"),TRUE,FALSE)</formula>
    </cfRule>
  </conditionalFormatting>
  <conditionalFormatting sqref="D5:D6">
    <cfRule type="expression" dxfId="516" priority="9">
      <formula>IF(OR(ISERROR(D5),D5="ERROR"),TRUE,FALSE)</formula>
    </cfRule>
  </conditionalFormatting>
  <conditionalFormatting sqref="E9">
    <cfRule type="expression" dxfId="515" priority="8">
      <formula>IF(OR(ISERROR(E9),E9="ERROR"),TRUE,FALSE)</formula>
    </cfRule>
  </conditionalFormatting>
  <conditionalFormatting sqref="F9">
    <cfRule type="expression" dxfId="514" priority="7">
      <formula>IF(OR(ISERROR(F9),F9="ERROR"),TRUE,FALSE)</formula>
    </cfRule>
  </conditionalFormatting>
  <conditionalFormatting sqref="H9">
    <cfRule type="expression" dxfId="513" priority="6">
      <formula>IF(OR(ISERROR(H9),H9="ERROR"),TRUE,FALSE)</formula>
    </cfRule>
  </conditionalFormatting>
  <conditionalFormatting sqref="I9">
    <cfRule type="expression" dxfId="512" priority="5">
      <formula>IF(OR(ISERROR(I9),I9="ERROR"),TRUE,FALSE)</formula>
    </cfRule>
  </conditionalFormatting>
  <conditionalFormatting sqref="J9">
    <cfRule type="expression" dxfId="511" priority="4">
      <formula>IF(OR(ISERROR(J9),J9="ERROR"),TRUE,FALSE)</formula>
    </cfRule>
  </conditionalFormatting>
  <conditionalFormatting sqref="K9">
    <cfRule type="expression" dxfId="510" priority="3">
      <formula>IF(OR(ISERROR(K9),K9="ERROR"),TRUE,FALSE)</formula>
    </cfRule>
  </conditionalFormatting>
  <conditionalFormatting sqref="D8 L8">
    <cfRule type="expression" dxfId="509" priority="2">
      <formula>IF(OR(ISERROR(D8),D8="ERROR"),TRUE,FALSE)</formula>
    </cfRule>
  </conditionalFormatting>
  <conditionalFormatting sqref="L7">
    <cfRule type="expression" dxfId="508" priority="1">
      <formula>IF(OR(ISERROR(L7),L7="ERROR"),TRUE,FALSE)</formula>
    </cfRule>
  </conditionalFormatting>
  <hyperlinks>
    <hyperlink ref="L9:Q11" location="'Rating Bundle - SOJ'!A1" display="Accuracy measurement is available on the Rating Bundle SOJ tab" xr:uid="{00000000-0004-0000-0300-000000000000}"/>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8785"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18786"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18787"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18788"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18789"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18790"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2"/>
  <dimension ref="A1:R39"/>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2.14062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30" t="s">
        <v>449</v>
      </c>
      <c r="D2" s="293" t="s">
        <v>804</v>
      </c>
      <c r="E2" s="294"/>
      <c r="F2" s="294"/>
      <c r="G2" s="294"/>
      <c r="H2" s="294"/>
      <c r="I2" s="294"/>
      <c r="J2" s="294"/>
      <c r="K2" s="310"/>
      <c r="L2" s="293" t="s">
        <v>460</v>
      </c>
      <c r="M2" s="294"/>
      <c r="N2" s="294"/>
      <c r="O2" s="294"/>
      <c r="P2" s="294"/>
      <c r="Q2" s="310"/>
      <c r="R2" s="6"/>
    </row>
    <row r="3" spans="1:18" ht="15" customHeight="1" x14ac:dyDescent="0.2">
      <c r="B3" s="4"/>
      <c r="C3" s="92"/>
      <c r="D3" s="311" t="s">
        <v>810</v>
      </c>
      <c r="E3" s="312"/>
      <c r="F3" s="312"/>
      <c r="G3" s="312"/>
      <c r="H3" s="312"/>
      <c r="I3" s="312"/>
      <c r="J3" s="312"/>
      <c r="K3" s="313"/>
      <c r="L3" s="314">
        <f>D_DT[]</f>
        <v>43540</v>
      </c>
      <c r="M3" s="315"/>
      <c r="N3" s="315"/>
      <c r="O3" s="315"/>
      <c r="P3" s="315"/>
      <c r="Q3" s="316"/>
      <c r="R3" s="6"/>
    </row>
    <row r="4" spans="1:18" ht="15" customHeight="1" x14ac:dyDescent="0.25">
      <c r="B4" s="4"/>
      <c r="C4" s="92"/>
      <c r="D4" s="162" t="s">
        <v>452</v>
      </c>
      <c r="E4" s="260"/>
      <c r="F4" s="260"/>
      <c r="G4" s="260"/>
      <c r="H4" s="260"/>
      <c r="I4" s="260"/>
      <c r="J4" s="260"/>
      <c r="K4" s="261"/>
      <c r="L4" s="162" t="s">
        <v>454</v>
      </c>
      <c r="M4" s="163"/>
      <c r="N4" s="163"/>
      <c r="O4" s="163" t="s">
        <v>456</v>
      </c>
      <c r="P4" s="163"/>
      <c r="Q4" s="164"/>
      <c r="R4" s="6"/>
    </row>
    <row r="5" spans="1:18" ht="15" customHeight="1" x14ac:dyDescent="0.3">
      <c r="B5" s="7"/>
      <c r="C5" s="87"/>
      <c r="D5" s="174" t="s">
        <v>453</v>
      </c>
      <c r="E5" s="117"/>
      <c r="F5" s="117"/>
      <c r="G5" s="117"/>
      <c r="H5" s="117"/>
      <c r="I5" s="117"/>
      <c r="J5" s="117"/>
      <c r="K5" s="175"/>
      <c r="L5" s="165" t="s">
        <v>455</v>
      </c>
      <c r="M5" s="118"/>
      <c r="N5" s="118"/>
      <c r="O5" s="118" t="s">
        <v>457</v>
      </c>
      <c r="P5" s="118"/>
      <c r="Q5" s="166"/>
      <c r="R5" s="71"/>
    </row>
    <row r="6" spans="1:18" ht="15" customHeight="1" x14ac:dyDescent="0.3">
      <c r="B6" s="7"/>
      <c r="C6" s="87"/>
      <c r="D6" s="174" t="s">
        <v>846</v>
      </c>
      <c r="E6" s="117"/>
      <c r="F6" s="117"/>
      <c r="G6" s="117"/>
      <c r="H6" s="117"/>
      <c r="I6" s="117"/>
      <c r="J6" s="117"/>
      <c r="K6" s="175"/>
      <c r="L6" s="165"/>
      <c r="M6" s="118"/>
      <c r="N6" s="118"/>
      <c r="O6" s="118"/>
      <c r="P6" s="118"/>
      <c r="Q6" s="166"/>
      <c r="R6" s="71"/>
    </row>
    <row r="7" spans="1:18" ht="15" customHeight="1" x14ac:dyDescent="0.2">
      <c r="B7" s="6"/>
      <c r="C7" s="9"/>
      <c r="D7" s="172"/>
      <c r="E7" s="173"/>
      <c r="F7" s="173"/>
      <c r="G7" s="173"/>
      <c r="H7" s="173"/>
      <c r="I7" s="173"/>
      <c r="J7" s="173"/>
      <c r="K7" s="176"/>
      <c r="L7" s="305" t="s">
        <v>847</v>
      </c>
      <c r="M7" s="306"/>
      <c r="N7" s="306"/>
      <c r="O7" s="306"/>
      <c r="P7" s="306"/>
      <c r="Q7" s="307"/>
      <c r="R7" s="9"/>
    </row>
    <row r="8" spans="1:18" s="86" customFormat="1" ht="15" customHeight="1" x14ac:dyDescent="0.25">
      <c r="B8" s="84"/>
      <c r="C8" s="8"/>
      <c r="D8" s="332" t="s">
        <v>471</v>
      </c>
      <c r="E8" s="333"/>
      <c r="F8" s="333"/>
      <c r="G8" s="333"/>
      <c r="H8" s="333"/>
      <c r="I8" s="333"/>
      <c r="J8" s="333"/>
      <c r="K8" s="333"/>
      <c r="L8" s="309" t="s">
        <v>472</v>
      </c>
      <c r="M8" s="309"/>
      <c r="N8" s="309"/>
      <c r="O8" s="309"/>
      <c r="P8" s="309"/>
      <c r="Q8" s="309"/>
      <c r="R8" s="85"/>
    </row>
    <row r="9" spans="1:18" s="86" customFormat="1" ht="15" customHeight="1" x14ac:dyDescent="0.25">
      <c r="B9" s="84"/>
      <c r="C9" s="119" t="s">
        <v>434</v>
      </c>
      <c r="D9" s="303" t="s">
        <v>462</v>
      </c>
      <c r="E9" s="303" t="s">
        <v>463</v>
      </c>
      <c r="F9" s="303" t="s">
        <v>464</v>
      </c>
      <c r="G9" s="317" t="s">
        <v>106</v>
      </c>
      <c r="H9" s="303" t="s">
        <v>465</v>
      </c>
      <c r="I9" s="303" t="s">
        <v>467</v>
      </c>
      <c r="J9" s="303" t="s">
        <v>466</v>
      </c>
      <c r="K9" s="303" t="s">
        <v>468</v>
      </c>
      <c r="L9" s="323" t="s">
        <v>832</v>
      </c>
      <c r="M9" s="324"/>
      <c r="N9" s="324"/>
      <c r="O9" s="324"/>
      <c r="P9" s="324"/>
      <c r="Q9" s="325"/>
      <c r="R9" s="85"/>
    </row>
    <row r="10" spans="1:18" s="86" customFormat="1" ht="15" customHeight="1" x14ac:dyDescent="0.25">
      <c r="B10" s="84"/>
      <c r="C10" s="8"/>
      <c r="D10" s="308"/>
      <c r="E10" s="308"/>
      <c r="F10" s="308"/>
      <c r="G10" s="308"/>
      <c r="H10" s="308"/>
      <c r="I10" s="308"/>
      <c r="J10" s="308"/>
      <c r="K10" s="308"/>
      <c r="L10" s="326"/>
      <c r="M10" s="327"/>
      <c r="N10" s="327"/>
      <c r="O10" s="327"/>
      <c r="P10" s="327"/>
      <c r="Q10" s="328"/>
      <c r="R10" s="85"/>
    </row>
    <row r="11" spans="1:18" s="86" customFormat="1" ht="15" customHeight="1" x14ac:dyDescent="0.25">
      <c r="B11" s="84"/>
      <c r="C11" s="8"/>
      <c r="D11" s="309"/>
      <c r="E11" s="309"/>
      <c r="F11" s="309"/>
      <c r="G11" s="309"/>
      <c r="H11" s="309"/>
      <c r="I11" s="309"/>
      <c r="J11" s="309"/>
      <c r="K11" s="309"/>
      <c r="L11" s="329"/>
      <c r="M11" s="330"/>
      <c r="N11" s="330"/>
      <c r="O11" s="330"/>
      <c r="P11" s="330"/>
      <c r="Q11" s="331"/>
      <c r="R11" s="85"/>
    </row>
    <row r="12" spans="1:18" ht="12.75" x14ac:dyDescent="0.2">
      <c r="A12" s="120">
        <v>100</v>
      </c>
      <c r="B12" s="23"/>
      <c r="C12" s="148" t="str">
        <f>Driver!$C$20&amp; " Total"</f>
        <v>USA - All Missions Total</v>
      </c>
      <c r="D12" s="126">
        <f>IF(ISNA($A12),"",IFERROR(SUMIFS(D_D[INV],D_D[MT],6,D_D[CAT],SMS,D_D[LOC],$A12),0))</f>
        <v>365584</v>
      </c>
      <c r="E12" s="126">
        <f>IF(ISNA($A12),"",IFERROR(SUMIFS(D_D[BL],D_D[MT],6,D_D[CAT],SMS,D_D[LOC],$A12),0))</f>
        <v>81966</v>
      </c>
      <c r="F12" s="127">
        <f>IF(ISNA($A12),"",IFERROR(E12/D12,0))</f>
        <v>0.22420565451442076</v>
      </c>
      <c r="G12" s="128">
        <f>IF(ISNA($A12),"",IFERROR(SUMIFS(D_D[ADP],D_D[MT],6,D_D[CAT],SMS,D_D[LOC],$A12),0))</f>
        <v>95.33</v>
      </c>
      <c r="H12" s="126">
        <f>IF(ISNA($A12),"",IFERROR(SUMIFS(D_D[PROD_MTD],D_D[MT],6,D_D[CAT],SMS,D_D[LOC],$A12),0))</f>
        <v>51081</v>
      </c>
      <c r="I12" s="128">
        <f>IF(ISNA($A12),"",IFERROR(SUMIFS(D_D[ADCM],D_D[MT],6,D_D[CAT],SMS,D_D[LOC],$A12),0))</f>
        <v>126.39</v>
      </c>
      <c r="J12" s="126">
        <f>IF(ISNA($A12),"",IFERROR(SUMIFS(D_D[PROD_FYTD],D_D[MT],6,D_D[CAT],SMS,D_D[LOC],$A12),0))</f>
        <v>572337</v>
      </c>
      <c r="K12" s="128">
        <f>IF(ISNA($A12),"",IFERROR(SUMIFS(D_D[ADCF],D_D[MT],6,D_D[CAT],SMS,D_D[LOC],$A12),0))</f>
        <v>113.18</v>
      </c>
      <c r="L12" s="129"/>
      <c r="M12" s="129"/>
      <c r="N12" s="129"/>
      <c r="O12" s="129"/>
      <c r="P12" s="129"/>
      <c r="Q12" s="129"/>
      <c r="R12" s="6"/>
    </row>
    <row r="13" spans="1:18" ht="12.75" x14ac:dyDescent="0.2">
      <c r="A13" s="120" t="str">
        <f t="shared" ref="A13:A35" ca="1" si="0">INDEX(STATE,(MATCH($C13,STATE_D,0)))</f>
        <v>394</v>
      </c>
      <c r="B13" s="23">
        <v>1</v>
      </c>
      <c r="C13" s="150" t="str">
        <f t="shared" ref="C13:C14" ca="1" si="1">IFERROR(INDEX(INDIRECT(DS_ST),B13),"")</f>
        <v>Northeast District</v>
      </c>
      <c r="D13" s="89">
        <f ca="1">IF(ISNA($A13),"",IFERROR(SUMIFS(D_D[INV],D_D[MT],6,D_D[CAT],SMS,D_D[LOC],$A13),0))</f>
        <v>85706</v>
      </c>
      <c r="E13" s="89">
        <f ca="1">IF(ISNA($A13),"",IFERROR(SUMIFS(D_D[BL],D_D[MT],6,D_D[CAT],SMS,D_D[LOC],$A13),0))</f>
        <v>19586</v>
      </c>
      <c r="F13" s="91">
        <f t="shared" ref="F13" ca="1" si="2">IF(ISNA($A13),"",IFERROR(E13/D13,0))</f>
        <v>0.22852542412433202</v>
      </c>
      <c r="G13" s="90">
        <f ca="1">IF(ISNA($A13),"",IFERROR(SUMIFS(D_D[ADP],D_D[MT],6,D_D[CAT],SMS,D_D[LOC],$A13),0))</f>
        <v>96.42</v>
      </c>
      <c r="H13" s="89">
        <f ca="1">IF(ISNA($A13),"",IFERROR(SUMIFS(D_D[PROD_MTD],D_D[MT],6,D_D[CAT],SMS,D_D[LOC],$A13),0))</f>
        <v>12621</v>
      </c>
      <c r="I13" s="90">
        <f ca="1">IF(ISNA($A13),"",IFERROR(SUMIFS(D_D[ADCM],D_D[MT],6,D_D[CAT],SMS,D_D[LOC],$A13),0))</f>
        <v>124.5</v>
      </c>
      <c r="J13" s="89">
        <f ca="1">IF(ISNA($A13),"",IFERROR(SUMIFS(D_D[PROD_FYTD],D_D[MT],6,D_D[CAT],SMS,D_D[LOC],$A13),0))</f>
        <v>137197</v>
      </c>
      <c r="K13" s="90">
        <f ca="1">IF(ISNA($A13),"",IFERROR(SUMIFS(D_D[ADCF],D_D[MT],6,D_D[CAT],SMS,D_D[LOC],$A13),0))</f>
        <v>113.31</v>
      </c>
      <c r="L13" s="129"/>
      <c r="M13" s="129"/>
      <c r="N13" s="129"/>
      <c r="O13" s="129"/>
      <c r="P13" s="129"/>
      <c r="Q13" s="129"/>
      <c r="R13" s="6"/>
    </row>
    <row r="14" spans="1:18" ht="12.75" x14ac:dyDescent="0.2">
      <c r="A14" s="120" t="str">
        <f t="shared" ca="1" si="0"/>
        <v>CT</v>
      </c>
      <c r="B14" s="23">
        <v>2</v>
      </c>
      <c r="C14" s="150" t="str">
        <f t="shared" ca="1" si="1"/>
        <v>Connecticut</v>
      </c>
      <c r="D14" s="89">
        <f ca="1">IF(ISNA($A14),"",IFERROR(SUMIFS(D_D[INV],D_D[MT],6,D_D[CAT],SMS,D_D[LOC],$A14),0))</f>
        <v>2100</v>
      </c>
      <c r="E14" s="89">
        <f ca="1">IF(ISNA($A14),"",IFERROR(SUMIFS(D_D[BL],D_D[MT],6,D_D[CAT],SMS,D_D[LOC],$A14),0))</f>
        <v>386</v>
      </c>
      <c r="F14" s="91">
        <f t="shared" ref="F14" ca="1" si="3">IF(ISNA($A14),"",IFERROR(E14/D14,0))</f>
        <v>0.18380952380952381</v>
      </c>
      <c r="G14" s="90">
        <f ca="1">IF(ISNA($A14),"",IFERROR(SUMIFS(D_D[ADP],D_D[MT],6,D_D[CAT],SMS,D_D[LOC],$A14),0))</f>
        <v>82.5</v>
      </c>
      <c r="H14" s="89">
        <f ca="1">IF(ISNA($A14),"",IFERROR(SUMIFS(D_D[PROD_MTD],D_D[MT],6,D_D[CAT],SMS,D_D[LOC],$A14),0))</f>
        <v>363</v>
      </c>
      <c r="I14" s="90">
        <f ca="1">IF(ISNA($A14),"",IFERROR(SUMIFS(D_D[ADCM],D_D[MT],6,D_D[CAT],SMS,D_D[LOC],$A14),0))</f>
        <v>110.45</v>
      </c>
      <c r="J14" s="89">
        <f ca="1">IF(ISNA($A14),"",IFERROR(SUMIFS(D_D[PROD_FYTD],D_D[MT],6,D_D[CAT],SMS,D_D[LOC],$A14),0))</f>
        <v>3756</v>
      </c>
      <c r="K14" s="90">
        <f ca="1">IF(ISNA($A14),"",IFERROR(SUMIFS(D_D[ADCF],D_D[MT],6,D_D[CAT],SMS,D_D[LOC],$A14),0))</f>
        <v>106.33</v>
      </c>
      <c r="L14" s="129"/>
      <c r="M14" s="129"/>
      <c r="N14" s="129"/>
      <c r="O14" s="129"/>
      <c r="P14" s="129"/>
      <c r="Q14" s="129"/>
      <c r="R14" s="6"/>
    </row>
    <row r="15" spans="1:18" ht="12.75" x14ac:dyDescent="0.2">
      <c r="A15" s="120" t="str">
        <f t="shared" ca="1" si="0"/>
        <v>DE</v>
      </c>
      <c r="B15" s="23">
        <v>3</v>
      </c>
      <c r="C15" s="150" t="str">
        <f t="shared" ref="C15:C35" ca="1" si="4">IFERROR(INDEX(INDIRECT(DS_ST),B15),"")</f>
        <v>Delaware</v>
      </c>
      <c r="D15" s="89">
        <f ca="1">IF(ISNA($A15),"",IFERROR(SUMIFS(D_D[INV],D_D[MT],6,D_D[CAT],SMS,D_D[LOC],$A15),0))</f>
        <v>975</v>
      </c>
      <c r="E15" s="89">
        <f ca="1">IF(ISNA($A15),"",IFERROR(SUMIFS(D_D[BL],D_D[MT],6,D_D[CAT],SMS,D_D[LOC],$A15),0))</f>
        <v>260</v>
      </c>
      <c r="F15" s="91">
        <f t="shared" ref="F15:F35" ca="1" si="5">IF(ISNA($A15),"",IFERROR(E15/D15,0))</f>
        <v>0.26666666666666666</v>
      </c>
      <c r="G15" s="90">
        <f ca="1">IF(ISNA($A15),"",IFERROR(SUMIFS(D_D[ADP],D_D[MT],6,D_D[CAT],SMS,D_D[LOC],$A15),0))</f>
        <v>107.42</v>
      </c>
      <c r="H15" s="89">
        <f ca="1">IF(ISNA($A15),"",IFERROR(SUMIFS(D_D[PROD_MTD],D_D[MT],6,D_D[CAT],SMS,D_D[LOC],$A15),0))</f>
        <v>167</v>
      </c>
      <c r="I15" s="90">
        <f ca="1">IF(ISNA($A15),"",IFERROR(SUMIFS(D_D[ADCM],D_D[MT],6,D_D[CAT],SMS,D_D[LOC],$A15),0))</f>
        <v>139.57</v>
      </c>
      <c r="J15" s="89">
        <f ca="1">IF(ISNA($A15),"",IFERROR(SUMIFS(D_D[PROD_FYTD],D_D[MT],6,D_D[CAT],SMS,D_D[LOC],$A15),0))</f>
        <v>1691</v>
      </c>
      <c r="K15" s="90">
        <f ca="1">IF(ISNA($A15),"",IFERROR(SUMIFS(D_D[ADCF],D_D[MT],6,D_D[CAT],SMS,D_D[LOC],$A15),0))</f>
        <v>122.08</v>
      </c>
      <c r="L15" s="129"/>
      <c r="M15" s="129"/>
      <c r="N15" s="129"/>
      <c r="O15" s="129"/>
      <c r="P15" s="129"/>
      <c r="Q15" s="129"/>
      <c r="R15" s="6"/>
    </row>
    <row r="16" spans="1:18" ht="12.75" x14ac:dyDescent="0.2">
      <c r="A16" s="120" t="str">
        <f t="shared" ca="1" si="0"/>
        <v>DC</v>
      </c>
      <c r="B16" s="23">
        <v>4</v>
      </c>
      <c r="C16" s="150" t="str">
        <f t="shared" ca="1" si="4"/>
        <v>District of Columbia</v>
      </c>
      <c r="D16" s="89">
        <f ca="1">IF(ISNA($A16),"",IFERROR(SUMIFS(D_D[INV],D_D[MT],6,D_D[CAT],SMS,D_D[LOC],$A16),0))</f>
        <v>515</v>
      </c>
      <c r="E16" s="89">
        <f ca="1">IF(ISNA($A16),"",IFERROR(SUMIFS(D_D[BL],D_D[MT],6,D_D[CAT],SMS,D_D[LOC],$A16),0))</f>
        <v>142</v>
      </c>
      <c r="F16" s="91">
        <f t="shared" ca="1" si="5"/>
        <v>0.27572815533980582</v>
      </c>
      <c r="G16" s="90">
        <f ca="1">IF(ISNA($A16),"",IFERROR(SUMIFS(D_D[ADP],D_D[MT],6,D_D[CAT],SMS,D_D[LOC],$A16),0))</f>
        <v>111.89</v>
      </c>
      <c r="H16" s="89">
        <f ca="1">IF(ISNA($A16),"",IFERROR(SUMIFS(D_D[PROD_MTD],D_D[MT],6,D_D[CAT],SMS,D_D[LOC],$A16),0))</f>
        <v>86</v>
      </c>
      <c r="I16" s="90">
        <f ca="1">IF(ISNA($A16),"",IFERROR(SUMIFS(D_D[ADCM],D_D[MT],6,D_D[CAT],SMS,D_D[LOC],$A16),0))</f>
        <v>140.85</v>
      </c>
      <c r="J16" s="89">
        <f ca="1">IF(ISNA($A16),"",IFERROR(SUMIFS(D_D[PROD_FYTD],D_D[MT],6,D_D[CAT],SMS,D_D[LOC],$A16),0))</f>
        <v>779</v>
      </c>
      <c r="K16" s="90">
        <f ca="1">IF(ISNA($A16),"",IFERROR(SUMIFS(D_D[ADCF],D_D[MT],6,D_D[CAT],SMS,D_D[LOC],$A16),0))</f>
        <v>128.80000000000001</v>
      </c>
      <c r="L16" s="129"/>
      <c r="M16" s="129"/>
      <c r="N16" s="129"/>
      <c r="O16" s="129"/>
      <c r="P16" s="129"/>
      <c r="Q16" s="129"/>
      <c r="R16" s="6"/>
    </row>
    <row r="17" spans="1:18" ht="12.75" x14ac:dyDescent="0.2">
      <c r="A17" s="120" t="str">
        <f t="shared" ca="1" si="0"/>
        <v>IL</v>
      </c>
      <c r="B17" s="23">
        <v>5</v>
      </c>
      <c r="C17" s="150" t="str">
        <f t="shared" ca="1" si="4"/>
        <v>Illinois</v>
      </c>
      <c r="D17" s="89">
        <f ca="1">IF(ISNA($A17),"",IFERROR(SUMIFS(D_D[INV],D_D[MT],6,D_D[CAT],SMS,D_D[LOC],$A17),0))</f>
        <v>8122</v>
      </c>
      <c r="E17" s="89">
        <f ca="1">IF(ISNA($A17),"",IFERROR(SUMIFS(D_D[BL],D_D[MT],6,D_D[CAT],SMS,D_D[LOC],$A17),0))</f>
        <v>1991</v>
      </c>
      <c r="F17" s="91">
        <f t="shared" ca="1" si="5"/>
        <v>0.24513666584585078</v>
      </c>
      <c r="G17" s="90">
        <f ca="1">IF(ISNA($A17),"",IFERROR(SUMIFS(D_D[ADP],D_D[MT],6,D_D[CAT],SMS,D_D[LOC],$A17),0))</f>
        <v>101.76</v>
      </c>
      <c r="H17" s="89">
        <f ca="1">IF(ISNA($A17),"",IFERROR(SUMIFS(D_D[PROD_MTD],D_D[MT],6,D_D[CAT],SMS,D_D[LOC],$A17),0))</f>
        <v>1141</v>
      </c>
      <c r="I17" s="90">
        <f ca="1">IF(ISNA($A17),"",IFERROR(SUMIFS(D_D[ADCM],D_D[MT],6,D_D[CAT],SMS,D_D[LOC],$A17),0))</f>
        <v>132.5</v>
      </c>
      <c r="J17" s="89">
        <f ca="1">IF(ISNA($A17),"",IFERROR(SUMIFS(D_D[PROD_FYTD],D_D[MT],6,D_D[CAT],SMS,D_D[LOC],$A17),0))</f>
        <v>12311</v>
      </c>
      <c r="K17" s="90">
        <f ca="1">IF(ISNA($A17),"",IFERROR(SUMIFS(D_D[ADCF],D_D[MT],6,D_D[CAT],SMS,D_D[LOC],$A17),0))</f>
        <v>114.42</v>
      </c>
      <c r="L17" s="129"/>
      <c r="M17" s="129"/>
      <c r="N17" s="129"/>
      <c r="O17" s="129"/>
      <c r="P17" s="129"/>
      <c r="Q17" s="129"/>
      <c r="R17" s="6"/>
    </row>
    <row r="18" spans="1:18" ht="12.75" x14ac:dyDescent="0.2">
      <c r="A18" s="120" t="str">
        <f t="shared" ca="1" si="0"/>
        <v>IN</v>
      </c>
      <c r="B18" s="23">
        <v>6</v>
      </c>
      <c r="C18" s="150" t="str">
        <f t="shared" ca="1" si="4"/>
        <v>Indiana</v>
      </c>
      <c r="D18" s="89">
        <f ca="1">IF(ISNA($A18),"",IFERROR(SUMIFS(D_D[INV],D_D[MT],6,D_D[CAT],SMS,D_D[LOC],$A18),0))</f>
        <v>6091</v>
      </c>
      <c r="E18" s="89">
        <f ca="1">IF(ISNA($A18),"",IFERROR(SUMIFS(D_D[BL],D_D[MT],6,D_D[CAT],SMS,D_D[LOC],$A18),0))</f>
        <v>1312</v>
      </c>
      <c r="F18" s="91">
        <f t="shared" ca="1" si="5"/>
        <v>0.2153997701526843</v>
      </c>
      <c r="G18" s="90">
        <f ca="1">IF(ISNA($A18),"",IFERROR(SUMIFS(D_D[ADP],D_D[MT],6,D_D[CAT],SMS,D_D[LOC],$A18),0))</f>
        <v>92.71</v>
      </c>
      <c r="H18" s="89">
        <f ca="1">IF(ISNA($A18),"",IFERROR(SUMIFS(D_D[PROD_MTD],D_D[MT],6,D_D[CAT],SMS,D_D[LOC],$A18),0))</f>
        <v>871</v>
      </c>
      <c r="I18" s="90">
        <f ca="1">IF(ISNA($A18),"",IFERROR(SUMIFS(D_D[ADCM],D_D[MT],6,D_D[CAT],SMS,D_D[LOC],$A18),0))</f>
        <v>126.11</v>
      </c>
      <c r="J18" s="89">
        <f ca="1">IF(ISNA($A18),"",IFERROR(SUMIFS(D_D[PROD_FYTD],D_D[MT],6,D_D[CAT],SMS,D_D[LOC],$A18),0))</f>
        <v>9233</v>
      </c>
      <c r="K18" s="90">
        <f ca="1">IF(ISNA($A18),"",IFERROR(SUMIFS(D_D[ADCF],D_D[MT],6,D_D[CAT],SMS,D_D[LOC],$A18),0))</f>
        <v>110.3</v>
      </c>
      <c r="L18" s="129"/>
      <c r="M18" s="129"/>
      <c r="N18" s="129"/>
      <c r="O18" s="129"/>
      <c r="P18" s="129"/>
      <c r="Q18" s="129"/>
      <c r="R18" s="6"/>
    </row>
    <row r="19" spans="1:18" ht="12.75" x14ac:dyDescent="0.2">
      <c r="A19" s="120" t="str">
        <f t="shared" ca="1" si="0"/>
        <v>ME</v>
      </c>
      <c r="B19" s="23">
        <v>7</v>
      </c>
      <c r="C19" s="150" t="str">
        <f t="shared" ca="1" si="4"/>
        <v>Maine</v>
      </c>
      <c r="D19" s="89">
        <f ca="1">IF(ISNA($A19),"",IFERROR(SUMIFS(D_D[INV],D_D[MT],6,D_D[CAT],SMS,D_D[LOC],$A19),0))</f>
        <v>1383</v>
      </c>
      <c r="E19" s="89">
        <f ca="1">IF(ISNA($A19),"",IFERROR(SUMIFS(D_D[BL],D_D[MT],6,D_D[CAT],SMS,D_D[LOC],$A19),0))</f>
        <v>308</v>
      </c>
      <c r="F19" s="91">
        <f t="shared" ca="1" si="5"/>
        <v>0.22270426608821403</v>
      </c>
      <c r="G19" s="90">
        <f ca="1">IF(ISNA($A19),"",IFERROR(SUMIFS(D_D[ADP],D_D[MT],6,D_D[CAT],SMS,D_D[LOC],$A19),0))</f>
        <v>95.82</v>
      </c>
      <c r="H19" s="89">
        <f ca="1">IF(ISNA($A19),"",IFERROR(SUMIFS(D_D[PROD_MTD],D_D[MT],6,D_D[CAT],SMS,D_D[LOC],$A19),0))</f>
        <v>216</v>
      </c>
      <c r="I19" s="90">
        <f ca="1">IF(ISNA($A19),"",IFERROR(SUMIFS(D_D[ADCM],D_D[MT],6,D_D[CAT],SMS,D_D[LOC],$A19),0))</f>
        <v>118.12</v>
      </c>
      <c r="J19" s="89">
        <f ca="1">IF(ISNA($A19),"",IFERROR(SUMIFS(D_D[PROD_FYTD],D_D[MT],6,D_D[CAT],SMS,D_D[LOC],$A19),0))</f>
        <v>2509</v>
      </c>
      <c r="K19" s="90">
        <f ca="1">IF(ISNA($A19),"",IFERROR(SUMIFS(D_D[ADCF],D_D[MT],6,D_D[CAT],SMS,D_D[LOC],$A19),0))</f>
        <v>112.19</v>
      </c>
      <c r="L19" s="129"/>
      <c r="M19" s="129"/>
      <c r="N19" s="129"/>
      <c r="O19" s="129"/>
      <c r="P19" s="129"/>
      <c r="Q19" s="129"/>
      <c r="R19" s="6"/>
    </row>
    <row r="20" spans="1:18" ht="12.75" x14ac:dyDescent="0.2">
      <c r="A20" s="120" t="str">
        <f t="shared" ca="1" si="0"/>
        <v>MD</v>
      </c>
      <c r="B20" s="23">
        <v>8</v>
      </c>
      <c r="C20" s="150" t="str">
        <f t="shared" ca="1" si="4"/>
        <v>Maryland</v>
      </c>
      <c r="D20" s="89">
        <f ca="1">IF(ISNA($A20),"",IFERROR(SUMIFS(D_D[INV],D_D[MT],6,D_D[CAT],SMS,D_D[LOC],$A20),0))</f>
        <v>7106</v>
      </c>
      <c r="E20" s="89">
        <f ca="1">IF(ISNA($A20),"",IFERROR(SUMIFS(D_D[BL],D_D[MT],6,D_D[CAT],SMS,D_D[LOC],$A20),0))</f>
        <v>1744</v>
      </c>
      <c r="F20" s="91">
        <f t="shared" ca="1" si="5"/>
        <v>0.24542640022516182</v>
      </c>
      <c r="G20" s="90">
        <f ca="1">IF(ISNA($A20),"",IFERROR(SUMIFS(D_D[ADP],D_D[MT],6,D_D[CAT],SMS,D_D[LOC],$A20),0))</f>
        <v>99.3</v>
      </c>
      <c r="H20" s="89">
        <f ca="1">IF(ISNA($A20),"",IFERROR(SUMIFS(D_D[PROD_MTD],D_D[MT],6,D_D[CAT],SMS,D_D[LOC],$A20),0))</f>
        <v>973</v>
      </c>
      <c r="I20" s="90">
        <f ca="1">IF(ISNA($A20),"",IFERROR(SUMIFS(D_D[ADCM],D_D[MT],6,D_D[CAT],SMS,D_D[LOC],$A20),0))</f>
        <v>133.77000000000001</v>
      </c>
      <c r="J20" s="89">
        <f ca="1">IF(ISNA($A20),"",IFERROR(SUMIFS(D_D[PROD_FYTD],D_D[MT],6,D_D[CAT],SMS,D_D[LOC],$A20),0))</f>
        <v>10780</v>
      </c>
      <c r="K20" s="90">
        <f ca="1">IF(ISNA($A20),"",IFERROR(SUMIFS(D_D[ADCF],D_D[MT],6,D_D[CAT],SMS,D_D[LOC],$A20),0))</f>
        <v>122.15</v>
      </c>
      <c r="L20" s="129"/>
      <c r="M20" s="129"/>
      <c r="N20" s="129"/>
      <c r="O20" s="129"/>
      <c r="P20" s="129"/>
      <c r="Q20" s="129"/>
      <c r="R20" s="6"/>
    </row>
    <row r="21" spans="1:18" ht="12.75" x14ac:dyDescent="0.2">
      <c r="A21" s="120" t="str">
        <f t="shared" ca="1" si="0"/>
        <v>MA</v>
      </c>
      <c r="B21" s="23">
        <v>9</v>
      </c>
      <c r="C21" s="150" t="str">
        <f t="shared" ca="1" si="4"/>
        <v>Massachusetts</v>
      </c>
      <c r="D21" s="89">
        <f ca="1">IF(ISNA($A21),"",IFERROR(SUMIFS(D_D[INV],D_D[MT],6,D_D[CAT],SMS,D_D[LOC],$A21),0))</f>
        <v>3896</v>
      </c>
      <c r="E21" s="89">
        <f ca="1">IF(ISNA($A21),"",IFERROR(SUMIFS(D_D[BL],D_D[MT],6,D_D[CAT],SMS,D_D[LOC],$A21),0))</f>
        <v>904</v>
      </c>
      <c r="F21" s="91">
        <f t="shared" ca="1" si="5"/>
        <v>0.23203285420944558</v>
      </c>
      <c r="G21" s="90">
        <f ca="1">IF(ISNA($A21),"",IFERROR(SUMIFS(D_D[ADP],D_D[MT],6,D_D[CAT],SMS,D_D[LOC],$A21),0))</f>
        <v>96.33</v>
      </c>
      <c r="H21" s="89">
        <f ca="1">IF(ISNA($A21),"",IFERROR(SUMIFS(D_D[PROD_MTD],D_D[MT],6,D_D[CAT],SMS,D_D[LOC],$A21),0))</f>
        <v>667</v>
      </c>
      <c r="I21" s="90">
        <f ca="1">IF(ISNA($A21),"",IFERROR(SUMIFS(D_D[ADCM],D_D[MT],6,D_D[CAT],SMS,D_D[LOC],$A21),0))</f>
        <v>122.26</v>
      </c>
      <c r="J21" s="89">
        <f ca="1">IF(ISNA($A21),"",IFERROR(SUMIFS(D_D[PROD_FYTD],D_D[MT],6,D_D[CAT],SMS,D_D[LOC],$A21),0))</f>
        <v>7311</v>
      </c>
      <c r="K21" s="90">
        <f ca="1">IF(ISNA($A21),"",IFERROR(SUMIFS(D_D[ADCF],D_D[MT],6,D_D[CAT],SMS,D_D[LOC],$A21),0))</f>
        <v>111.98</v>
      </c>
      <c r="L21" s="129"/>
      <c r="M21" s="129"/>
      <c r="N21" s="129"/>
      <c r="O21" s="129"/>
      <c r="P21" s="129"/>
      <c r="Q21" s="129"/>
      <c r="R21" s="6"/>
    </row>
    <row r="22" spans="1:18" ht="12.75" x14ac:dyDescent="0.2">
      <c r="A22" s="120" t="str">
        <f t="shared" ca="1" si="0"/>
        <v>MI</v>
      </c>
      <c r="B22" s="23">
        <v>10</v>
      </c>
      <c r="C22" s="150" t="str">
        <f t="shared" ca="1" si="4"/>
        <v>Michigan</v>
      </c>
      <c r="D22" s="89">
        <f ca="1">IF(ISNA($A22),"",IFERROR(SUMIFS(D_D[INV],D_D[MT],6,D_D[CAT],SMS,D_D[LOC],$A22),0))</f>
        <v>7241</v>
      </c>
      <c r="E22" s="89">
        <f ca="1">IF(ISNA($A22),"",IFERROR(SUMIFS(D_D[BL],D_D[MT],6,D_D[CAT],SMS,D_D[LOC],$A22),0))</f>
        <v>1574</v>
      </c>
      <c r="F22" s="91">
        <f t="shared" ca="1" si="5"/>
        <v>0.21737329098190858</v>
      </c>
      <c r="G22" s="90">
        <f ca="1">IF(ISNA($A22),"",IFERROR(SUMIFS(D_D[ADP],D_D[MT],6,D_D[CAT],SMS,D_D[LOC],$A22),0))</f>
        <v>97.17</v>
      </c>
      <c r="H22" s="89">
        <f ca="1">IF(ISNA($A22),"",IFERROR(SUMIFS(D_D[PROD_MTD],D_D[MT],6,D_D[CAT],SMS,D_D[LOC],$A22),0))</f>
        <v>1089</v>
      </c>
      <c r="I22" s="90">
        <f ca="1">IF(ISNA($A22),"",IFERROR(SUMIFS(D_D[ADCM],D_D[MT],6,D_D[CAT],SMS,D_D[LOC],$A22),0))</f>
        <v>124.44</v>
      </c>
      <c r="J22" s="89">
        <f ca="1">IF(ISNA($A22),"",IFERROR(SUMIFS(D_D[PROD_FYTD],D_D[MT],6,D_D[CAT],SMS,D_D[LOC],$A22),0))</f>
        <v>12037</v>
      </c>
      <c r="K22" s="90">
        <f ca="1">IF(ISNA($A22),"",IFERROR(SUMIFS(D_D[ADCF],D_D[MT],6,D_D[CAT],SMS,D_D[LOC],$A22),0))</f>
        <v>108.39</v>
      </c>
      <c r="L22" s="129"/>
      <c r="M22" s="129"/>
      <c r="N22" s="129"/>
      <c r="O22" s="129"/>
      <c r="P22" s="129"/>
      <c r="Q22" s="129"/>
      <c r="R22" s="6"/>
    </row>
    <row r="23" spans="1:18" ht="12.75" x14ac:dyDescent="0.2">
      <c r="A23" s="120" t="str">
        <f t="shared" ca="1" si="0"/>
        <v>MO</v>
      </c>
      <c r="B23" s="23">
        <v>11</v>
      </c>
      <c r="C23" s="150" t="str">
        <f t="shared" ca="1" si="4"/>
        <v>Missouri</v>
      </c>
      <c r="D23" s="89">
        <f ca="1">IF(ISNA($A23),"",IFERROR(SUMIFS(D_D[INV],D_D[MT],6,D_D[CAT],SMS,D_D[LOC],$A23),0))</f>
        <v>6417</v>
      </c>
      <c r="E23" s="89">
        <f ca="1">IF(ISNA($A23),"",IFERROR(SUMIFS(D_D[BL],D_D[MT],6,D_D[CAT],SMS,D_D[LOC],$A23),0))</f>
        <v>1448</v>
      </c>
      <c r="F23" s="91">
        <f t="shared" ca="1" si="5"/>
        <v>0.22565061555243884</v>
      </c>
      <c r="G23" s="90">
        <f ca="1">IF(ISNA($A23),"",IFERROR(SUMIFS(D_D[ADP],D_D[MT],6,D_D[CAT],SMS,D_D[LOC],$A23),0))</f>
        <v>96.31</v>
      </c>
      <c r="H23" s="89">
        <f ca="1">IF(ISNA($A23),"",IFERROR(SUMIFS(D_D[PROD_MTD],D_D[MT],6,D_D[CAT],SMS,D_D[LOC],$A23),0))</f>
        <v>898</v>
      </c>
      <c r="I23" s="90">
        <f ca="1">IF(ISNA($A23),"",IFERROR(SUMIFS(D_D[ADCM],D_D[MT],6,D_D[CAT],SMS,D_D[LOC],$A23),0))</f>
        <v>120.22</v>
      </c>
      <c r="J23" s="89">
        <f ca="1">IF(ISNA($A23),"",IFERROR(SUMIFS(D_D[PROD_FYTD],D_D[MT],6,D_D[CAT],SMS,D_D[LOC],$A23),0))</f>
        <v>10172</v>
      </c>
      <c r="K23" s="90">
        <f ca="1">IF(ISNA($A23),"",IFERROR(SUMIFS(D_D[ADCF],D_D[MT],6,D_D[CAT],SMS,D_D[LOC],$A23),0))</f>
        <v>107.12</v>
      </c>
      <c r="L23" s="129"/>
      <c r="M23" s="129"/>
      <c r="N23" s="129"/>
      <c r="O23" s="129"/>
      <c r="P23" s="129"/>
      <c r="Q23" s="129"/>
      <c r="R23" s="6"/>
    </row>
    <row r="24" spans="1:18" ht="12.75" x14ac:dyDescent="0.2">
      <c r="A24" s="120" t="str">
        <f t="shared" ca="1" si="0"/>
        <v>NH</v>
      </c>
      <c r="B24" s="23">
        <v>12</v>
      </c>
      <c r="C24" s="150" t="str">
        <f t="shared" ca="1" si="4"/>
        <v>New Hampshire</v>
      </c>
      <c r="D24" s="89">
        <f ca="1">IF(ISNA($A24),"",IFERROR(SUMIFS(D_D[INV],D_D[MT],6,D_D[CAT],SMS,D_D[LOC],$A24),0))</f>
        <v>1296</v>
      </c>
      <c r="E24" s="89">
        <f ca="1">IF(ISNA($A24),"",IFERROR(SUMIFS(D_D[BL],D_D[MT],6,D_D[CAT],SMS,D_D[LOC],$A24),0))</f>
        <v>281</v>
      </c>
      <c r="F24" s="91">
        <f t="shared" ca="1" si="5"/>
        <v>0.21682098765432098</v>
      </c>
      <c r="G24" s="90">
        <f ca="1">IF(ISNA($A24),"",IFERROR(SUMIFS(D_D[ADP],D_D[MT],6,D_D[CAT],SMS,D_D[LOC],$A24),0))</f>
        <v>93.25</v>
      </c>
      <c r="H24" s="89">
        <f ca="1">IF(ISNA($A24),"",IFERROR(SUMIFS(D_D[PROD_MTD],D_D[MT],6,D_D[CAT],SMS,D_D[LOC],$A24),0))</f>
        <v>204</v>
      </c>
      <c r="I24" s="90">
        <f ca="1">IF(ISNA($A24),"",IFERROR(SUMIFS(D_D[ADCM],D_D[MT],6,D_D[CAT],SMS,D_D[LOC],$A24),0))</f>
        <v>125.28</v>
      </c>
      <c r="J24" s="89">
        <f ca="1">IF(ISNA($A24),"",IFERROR(SUMIFS(D_D[PROD_FYTD],D_D[MT],6,D_D[CAT],SMS,D_D[LOC],$A24),0))</f>
        <v>2282</v>
      </c>
      <c r="K24" s="90">
        <f ca="1">IF(ISNA($A24),"",IFERROR(SUMIFS(D_D[ADCF],D_D[MT],6,D_D[CAT],SMS,D_D[LOC],$A24),0))</f>
        <v>112.15</v>
      </c>
      <c r="L24" s="129"/>
      <c r="M24" s="129"/>
      <c r="N24" s="129"/>
      <c r="O24" s="129"/>
      <c r="P24" s="129"/>
      <c r="Q24" s="129"/>
      <c r="R24" s="6"/>
    </row>
    <row r="25" spans="1:18" ht="12.75" x14ac:dyDescent="0.2">
      <c r="A25" s="120" t="str">
        <f t="shared" ca="1" si="0"/>
        <v>NJ</v>
      </c>
      <c r="B25" s="23">
        <v>13</v>
      </c>
      <c r="C25" s="150" t="str">
        <f t="shared" ca="1" si="4"/>
        <v>New Jersey</v>
      </c>
      <c r="D25" s="89">
        <f ca="1">IF(ISNA($A25),"",IFERROR(SUMIFS(D_D[INV],D_D[MT],6,D_D[CAT],SMS,D_D[LOC],$A25),0))</f>
        <v>4773</v>
      </c>
      <c r="E25" s="89">
        <f ca="1">IF(ISNA($A25),"",IFERROR(SUMIFS(D_D[BL],D_D[MT],6,D_D[CAT],SMS,D_D[LOC],$A25),0))</f>
        <v>1185</v>
      </c>
      <c r="F25" s="91">
        <f t="shared" ca="1" si="5"/>
        <v>0.24827152734129479</v>
      </c>
      <c r="G25" s="90">
        <f ca="1">IF(ISNA($A25),"",IFERROR(SUMIFS(D_D[ADP],D_D[MT],6,D_D[CAT],SMS,D_D[LOC],$A25),0))</f>
        <v>99.3</v>
      </c>
      <c r="H25" s="89">
        <f ca="1">IF(ISNA($A25),"",IFERROR(SUMIFS(D_D[PROD_MTD],D_D[MT],6,D_D[CAT],SMS,D_D[LOC],$A25),0))</f>
        <v>666</v>
      </c>
      <c r="I25" s="90">
        <f ca="1">IF(ISNA($A25),"",IFERROR(SUMIFS(D_D[ADCM],D_D[MT],6,D_D[CAT],SMS,D_D[LOC],$A25),0))</f>
        <v>135.97999999999999</v>
      </c>
      <c r="J25" s="89">
        <f ca="1">IF(ISNA($A25),"",IFERROR(SUMIFS(D_D[PROD_FYTD],D_D[MT],6,D_D[CAT],SMS,D_D[LOC],$A25),0))</f>
        <v>7089</v>
      </c>
      <c r="K25" s="90">
        <f ca="1">IF(ISNA($A25),"",IFERROR(SUMIFS(D_D[ADCF],D_D[MT],6,D_D[CAT],SMS,D_D[LOC],$A25),0))</f>
        <v>122.84</v>
      </c>
      <c r="L25" s="129"/>
      <c r="M25" s="129"/>
      <c r="N25" s="129"/>
      <c r="O25" s="129"/>
      <c r="P25" s="129"/>
      <c r="Q25" s="129"/>
      <c r="R25" s="6"/>
    </row>
    <row r="26" spans="1:18" ht="12.75" x14ac:dyDescent="0.2">
      <c r="A26" s="120" t="str">
        <f t="shared" ca="1" si="0"/>
        <v>NY</v>
      </c>
      <c r="B26" s="23">
        <v>14</v>
      </c>
      <c r="C26" s="150" t="str">
        <f t="shared" ca="1" si="4"/>
        <v>New York</v>
      </c>
      <c r="D26" s="89">
        <f ca="1">IF(ISNA($A26),"",IFERROR(SUMIFS(D_D[INV],D_D[MT],6,D_D[CAT],SMS,D_D[LOC],$A26),0))</f>
        <v>9310</v>
      </c>
      <c r="E26" s="89">
        <f ca="1">IF(ISNA($A26),"",IFERROR(SUMIFS(D_D[BL],D_D[MT],6,D_D[CAT],SMS,D_D[LOC],$A26),0))</f>
        <v>2189</v>
      </c>
      <c r="F26" s="91">
        <f t="shared" ca="1" si="5"/>
        <v>0.23512352309344792</v>
      </c>
      <c r="G26" s="90">
        <f ca="1">IF(ISNA($A26),"",IFERROR(SUMIFS(D_D[ADP],D_D[MT],6,D_D[CAT],SMS,D_D[LOC],$A26),0))</f>
        <v>97.36</v>
      </c>
      <c r="H26" s="89">
        <f ca="1">IF(ISNA($A26),"",IFERROR(SUMIFS(D_D[PROD_MTD],D_D[MT],6,D_D[CAT],SMS,D_D[LOC],$A26),0))</f>
        <v>1389</v>
      </c>
      <c r="I26" s="90">
        <f ca="1">IF(ISNA($A26),"",IFERROR(SUMIFS(D_D[ADCM],D_D[MT],6,D_D[CAT],SMS,D_D[LOC],$A26),0))</f>
        <v>121.86</v>
      </c>
      <c r="J26" s="89">
        <f ca="1">IF(ISNA($A26),"",IFERROR(SUMIFS(D_D[PROD_FYTD],D_D[MT],6,D_D[CAT],SMS,D_D[LOC],$A26),0))</f>
        <v>14697</v>
      </c>
      <c r="K26" s="90">
        <f ca="1">IF(ISNA($A26),"",IFERROR(SUMIFS(D_D[ADCF],D_D[MT],6,D_D[CAT],SMS,D_D[LOC],$A26),0))</f>
        <v>113.32</v>
      </c>
      <c r="L26" s="129"/>
      <c r="M26" s="129"/>
      <c r="N26" s="129"/>
      <c r="O26" s="129"/>
      <c r="P26" s="129"/>
      <c r="Q26" s="129"/>
      <c r="R26" s="6"/>
    </row>
    <row r="27" spans="1:18" ht="12.75" x14ac:dyDescent="0.2">
      <c r="A27" s="120" t="str">
        <f t="shared" ca="1" si="0"/>
        <v>OH</v>
      </c>
      <c r="B27" s="23">
        <v>15</v>
      </c>
      <c r="C27" s="150" t="str">
        <f t="shared" ca="1" si="4"/>
        <v>Ohio</v>
      </c>
      <c r="D27" s="89">
        <f ca="1">IF(ISNA($A27),"",IFERROR(SUMIFS(D_D[INV],D_D[MT],6,D_D[CAT],SMS,D_D[LOC],$A27),0))</f>
        <v>10856</v>
      </c>
      <c r="E27" s="89">
        <f ca="1">IF(ISNA($A27),"",IFERROR(SUMIFS(D_D[BL],D_D[MT],6,D_D[CAT],SMS,D_D[LOC],$A27),0))</f>
        <v>2250</v>
      </c>
      <c r="F27" s="91">
        <f t="shared" ca="1" si="5"/>
        <v>0.20725865880619013</v>
      </c>
      <c r="G27" s="90">
        <f ca="1">IF(ISNA($A27),"",IFERROR(SUMIFS(D_D[ADP],D_D[MT],6,D_D[CAT],SMS,D_D[LOC],$A27),0))</f>
        <v>91.36</v>
      </c>
      <c r="H27" s="89">
        <f ca="1">IF(ISNA($A27),"",IFERROR(SUMIFS(D_D[PROD_MTD],D_D[MT],6,D_D[CAT],SMS,D_D[LOC],$A27),0))</f>
        <v>1475</v>
      </c>
      <c r="I27" s="90">
        <f ca="1">IF(ISNA($A27),"",IFERROR(SUMIFS(D_D[ADCM],D_D[MT],6,D_D[CAT],SMS,D_D[LOC],$A27),0))</f>
        <v>119.19</v>
      </c>
      <c r="J27" s="89">
        <f ca="1">IF(ISNA($A27),"",IFERROR(SUMIFS(D_D[PROD_FYTD],D_D[MT],6,D_D[CAT],SMS,D_D[LOC],$A27),0))</f>
        <v>17163</v>
      </c>
      <c r="K27" s="90">
        <f ca="1">IF(ISNA($A27),"",IFERROR(SUMIFS(D_D[ADCF],D_D[MT],6,D_D[CAT],SMS,D_D[LOC],$A27),0))</f>
        <v>109.41</v>
      </c>
      <c r="L27" s="129"/>
      <c r="M27" s="129"/>
      <c r="N27" s="129"/>
      <c r="O27" s="129"/>
      <c r="P27" s="129"/>
      <c r="Q27" s="129"/>
      <c r="R27" s="6"/>
    </row>
    <row r="28" spans="1:18" ht="12.75" x14ac:dyDescent="0.2">
      <c r="A28" s="120" t="str">
        <f t="shared" ca="1" si="0"/>
        <v>PA</v>
      </c>
      <c r="B28" s="23">
        <v>16</v>
      </c>
      <c r="C28" s="150" t="str">
        <f t="shared" ca="1" si="4"/>
        <v>Pennsylvania</v>
      </c>
      <c r="D28" s="89">
        <f ca="1">IF(ISNA($A28),"",IFERROR(SUMIFS(D_D[INV],D_D[MT],6,D_D[CAT],SMS,D_D[LOC],$A28),0))</f>
        <v>9966</v>
      </c>
      <c r="E28" s="89">
        <f ca="1">IF(ISNA($A28),"",IFERROR(SUMIFS(D_D[BL],D_D[MT],6,D_D[CAT],SMS,D_D[LOC],$A28),0))</f>
        <v>2358</v>
      </c>
      <c r="F28" s="91">
        <f t="shared" ca="1" si="5"/>
        <v>0.2366044551475015</v>
      </c>
      <c r="G28" s="90">
        <f ca="1">IF(ISNA($A28),"",IFERROR(SUMIFS(D_D[ADP],D_D[MT],6,D_D[CAT],SMS,D_D[LOC],$A28),0))</f>
        <v>96.58</v>
      </c>
      <c r="H28" s="89">
        <f ca="1">IF(ISNA($A28),"",IFERROR(SUMIFS(D_D[PROD_MTD],D_D[MT],6,D_D[CAT],SMS,D_D[LOC],$A28),0))</f>
        <v>1530</v>
      </c>
      <c r="I28" s="90">
        <f ca="1">IF(ISNA($A28),"",IFERROR(SUMIFS(D_D[ADCM],D_D[MT],6,D_D[CAT],SMS,D_D[LOC],$A28),0))</f>
        <v>125.06</v>
      </c>
      <c r="J28" s="89">
        <f ca="1">IF(ISNA($A28),"",IFERROR(SUMIFS(D_D[PROD_FYTD],D_D[MT],6,D_D[CAT],SMS,D_D[LOC],$A28),0))</f>
        <v>15863</v>
      </c>
      <c r="K28" s="90">
        <f ca="1">IF(ISNA($A28),"",IFERROR(SUMIFS(D_D[ADCF],D_D[MT],6,D_D[CAT],SMS,D_D[LOC],$A28),0))</f>
        <v>119.62</v>
      </c>
      <c r="L28" s="129"/>
      <c r="M28" s="129"/>
      <c r="N28" s="129"/>
      <c r="O28" s="129"/>
      <c r="P28" s="129"/>
      <c r="Q28" s="129"/>
      <c r="R28" s="6"/>
    </row>
    <row r="29" spans="1:18" ht="12.75" x14ac:dyDescent="0.2">
      <c r="A29" s="120" t="str">
        <f t="shared" ca="1" si="0"/>
        <v>RI</v>
      </c>
      <c r="B29" s="23">
        <v>17</v>
      </c>
      <c r="C29" s="150" t="str">
        <f t="shared" ca="1" si="4"/>
        <v>Rhode Island</v>
      </c>
      <c r="D29" s="89">
        <f ca="1">IF(ISNA($A29),"",IFERROR(SUMIFS(D_D[INV],D_D[MT],6,D_D[CAT],SMS,D_D[LOC],$A29),0))</f>
        <v>822</v>
      </c>
      <c r="E29" s="89">
        <f ca="1">IF(ISNA($A29),"",IFERROR(SUMIFS(D_D[BL],D_D[MT],6,D_D[CAT],SMS,D_D[LOC],$A29),0))</f>
        <v>181</v>
      </c>
      <c r="F29" s="91">
        <f t="shared" ca="1" si="5"/>
        <v>0.22019464720194648</v>
      </c>
      <c r="G29" s="90">
        <f ca="1">IF(ISNA($A29),"",IFERROR(SUMIFS(D_D[ADP],D_D[MT],6,D_D[CAT],SMS,D_D[LOC],$A29),0))</f>
        <v>93.41</v>
      </c>
      <c r="H29" s="89">
        <f ca="1">IF(ISNA($A29),"",IFERROR(SUMIFS(D_D[PROD_MTD],D_D[MT],6,D_D[CAT],SMS,D_D[LOC],$A29),0))</f>
        <v>153</v>
      </c>
      <c r="I29" s="90">
        <f ca="1">IF(ISNA($A29),"",IFERROR(SUMIFS(D_D[ADCM],D_D[MT],6,D_D[CAT],SMS,D_D[LOC],$A29),0))</f>
        <v>109.65</v>
      </c>
      <c r="J29" s="89">
        <f ca="1">IF(ISNA($A29),"",IFERROR(SUMIFS(D_D[PROD_FYTD],D_D[MT],6,D_D[CAT],SMS,D_D[LOC],$A29),0))</f>
        <v>1556</v>
      </c>
      <c r="K29" s="90">
        <f ca="1">IF(ISNA($A29),"",IFERROR(SUMIFS(D_D[ADCF],D_D[MT],6,D_D[CAT],SMS,D_D[LOC],$A29),0))</f>
        <v>106.31</v>
      </c>
      <c r="L29" s="129"/>
      <c r="M29" s="129"/>
      <c r="N29" s="129"/>
      <c r="O29" s="129"/>
      <c r="P29" s="129"/>
      <c r="Q29" s="129"/>
      <c r="R29" s="6"/>
    </row>
    <row r="30" spans="1:18" ht="12.75" x14ac:dyDescent="0.2">
      <c r="A30" s="120" t="str">
        <f t="shared" ca="1" si="0"/>
        <v>VT</v>
      </c>
      <c r="B30" s="23">
        <v>18</v>
      </c>
      <c r="C30" s="150" t="str">
        <f t="shared" ca="1" si="4"/>
        <v>Vermont</v>
      </c>
      <c r="D30" s="89">
        <f ca="1">IF(ISNA($A30),"",IFERROR(SUMIFS(D_D[INV],D_D[MT],6,D_D[CAT],SMS,D_D[LOC],$A30),0))</f>
        <v>486</v>
      </c>
      <c r="E30" s="89">
        <f ca="1">IF(ISNA($A30),"",IFERROR(SUMIFS(D_D[BL],D_D[MT],6,D_D[CAT],SMS,D_D[LOC],$A30),0))</f>
        <v>134</v>
      </c>
      <c r="F30" s="91">
        <f t="shared" ca="1" si="5"/>
        <v>0.27572016460905352</v>
      </c>
      <c r="G30" s="90">
        <f ca="1">IF(ISNA($A30),"",IFERROR(SUMIFS(D_D[ADP],D_D[MT],6,D_D[CAT],SMS,D_D[LOC],$A30),0))</f>
        <v>103.24</v>
      </c>
      <c r="H30" s="89">
        <f ca="1">IF(ISNA($A30),"",IFERROR(SUMIFS(D_D[PROD_MTD],D_D[MT],6,D_D[CAT],SMS,D_D[LOC],$A30),0))</f>
        <v>81</v>
      </c>
      <c r="I30" s="90">
        <f ca="1">IF(ISNA($A30),"",IFERROR(SUMIFS(D_D[ADCM],D_D[MT],6,D_D[CAT],SMS,D_D[LOC],$A30),0))</f>
        <v>130.30000000000001</v>
      </c>
      <c r="J30" s="89">
        <f ca="1">IF(ISNA($A30),"",IFERROR(SUMIFS(D_D[PROD_FYTD],D_D[MT],6,D_D[CAT],SMS,D_D[LOC],$A30),0))</f>
        <v>770</v>
      </c>
      <c r="K30" s="90">
        <f ca="1">IF(ISNA($A30),"",IFERROR(SUMIFS(D_D[ADCF],D_D[MT],6,D_D[CAT],SMS,D_D[LOC],$A30),0))</f>
        <v>129.44</v>
      </c>
      <c r="L30" s="129"/>
      <c r="M30" s="129"/>
      <c r="N30" s="129"/>
      <c r="O30" s="129"/>
      <c r="P30" s="129"/>
      <c r="Q30" s="129"/>
      <c r="R30" s="6"/>
    </row>
    <row r="31" spans="1:18" ht="12.75" x14ac:dyDescent="0.2">
      <c r="A31" s="120" t="str">
        <f t="shared" ca="1" si="0"/>
        <v>WI</v>
      </c>
      <c r="B31" s="23">
        <v>19</v>
      </c>
      <c r="C31" s="150" t="str">
        <f t="shared" ca="1" si="4"/>
        <v>Wisconsin</v>
      </c>
      <c r="D31" s="89">
        <f ca="1">IF(ISNA($A31),"",IFERROR(SUMIFS(D_D[INV],D_D[MT],6,D_D[CAT],SMS,D_D[LOC],$A31),0))</f>
        <v>4351</v>
      </c>
      <c r="E31" s="89">
        <f ca="1">IF(ISNA($A31),"",IFERROR(SUMIFS(D_D[BL],D_D[MT],6,D_D[CAT],SMS,D_D[LOC],$A31),0))</f>
        <v>939</v>
      </c>
      <c r="F31" s="91">
        <f t="shared" ca="1" si="5"/>
        <v>0.21581245690645828</v>
      </c>
      <c r="G31" s="90">
        <f ca="1">IF(ISNA($A31),"",IFERROR(SUMIFS(D_D[ADP],D_D[MT],6,D_D[CAT],SMS,D_D[LOC],$A31),0))</f>
        <v>96.37</v>
      </c>
      <c r="H31" s="89">
        <f ca="1">IF(ISNA($A31),"",IFERROR(SUMIFS(D_D[PROD_MTD],D_D[MT],6,D_D[CAT],SMS,D_D[LOC],$A31),0))</f>
        <v>652</v>
      </c>
      <c r="I31" s="90">
        <f ca="1">IF(ISNA($A31),"",IFERROR(SUMIFS(D_D[ADCM],D_D[MT],6,D_D[CAT],SMS,D_D[LOC],$A31),0))</f>
        <v>113.82</v>
      </c>
      <c r="J31" s="89">
        <f ca="1">IF(ISNA($A31),"",IFERROR(SUMIFS(D_D[PROD_FYTD],D_D[MT],6,D_D[CAT],SMS,D_D[LOC],$A31),0))</f>
        <v>7198</v>
      </c>
      <c r="K31" s="90">
        <f ca="1">IF(ISNA($A31),"",IFERROR(SUMIFS(D_D[ADCF],D_D[MT],6,D_D[CAT],SMS,D_D[LOC],$A31),0))</f>
        <v>106.87</v>
      </c>
      <c r="L31" s="129"/>
      <c r="M31" s="129"/>
      <c r="N31" s="129"/>
      <c r="O31" s="129"/>
      <c r="P31" s="129"/>
      <c r="Q31" s="129"/>
      <c r="R31" s="6"/>
    </row>
    <row r="32" spans="1:18" ht="12.75" x14ac:dyDescent="0.2">
      <c r="A32" s="120" t="e">
        <f t="shared" ca="1" si="0"/>
        <v>#N/A</v>
      </c>
      <c r="B32" s="23">
        <v>20</v>
      </c>
      <c r="C32" s="150" t="str">
        <f t="shared" ca="1" si="4"/>
        <v/>
      </c>
      <c r="D32" s="89" t="str">
        <f ca="1">IF(ISNA($A32),"",IFERROR(SUMIFS(D_D[INV],D_D[MT],6,D_D[CAT],SMS,D_D[LOC],$A32),0))</f>
        <v/>
      </c>
      <c r="E32" s="89" t="str">
        <f ca="1">IF(ISNA($A32),"",IFERROR(SUMIFS(D_D[BL],D_D[MT],6,D_D[CAT],SMS,D_D[LOC],$A32),0))</f>
        <v/>
      </c>
      <c r="F32" s="91" t="str">
        <f t="shared" ca="1" si="5"/>
        <v/>
      </c>
      <c r="G32" s="90" t="str">
        <f ca="1">IF(ISNA($A32),"",IFERROR(SUMIFS(D_D[ADP],D_D[MT],6,D_D[CAT],SMS,D_D[LOC],$A32),0))</f>
        <v/>
      </c>
      <c r="H32" s="89" t="str">
        <f ca="1">IF(ISNA($A32),"",IFERROR(SUMIFS(D_D[PROD_MTD],D_D[MT],6,D_D[CAT],SMS,D_D[LOC],$A32),0))</f>
        <v/>
      </c>
      <c r="I32" s="90" t="str">
        <f ca="1">IF(ISNA($A32),"",IFERROR(SUMIFS(D_D[ADCM],D_D[MT],6,D_D[CAT],SMS,D_D[LOC],$A32),0))</f>
        <v/>
      </c>
      <c r="J32" s="89" t="str">
        <f ca="1">IF(ISNA($A32),"",IFERROR(SUMIFS(D_D[PROD_FYTD],D_D[MT],6,D_D[CAT],SMS,D_D[LOC],$A32),0))</f>
        <v/>
      </c>
      <c r="K32" s="90" t="str">
        <f ca="1">IF(ISNA($A32),"",IFERROR(SUMIFS(D_D[ADCF],D_D[MT],6,D_D[CAT],SMS,D_D[LOC],$A32),0))</f>
        <v/>
      </c>
      <c r="L32" s="129"/>
      <c r="M32" s="129"/>
      <c r="N32" s="129"/>
      <c r="O32" s="129"/>
      <c r="P32" s="129"/>
      <c r="Q32" s="129"/>
      <c r="R32" s="6"/>
    </row>
    <row r="33" spans="1:18" ht="12.75" x14ac:dyDescent="0.2">
      <c r="A33" s="120" t="e">
        <f t="shared" ca="1" si="0"/>
        <v>#N/A</v>
      </c>
      <c r="B33" s="23">
        <v>21</v>
      </c>
      <c r="C33" s="150" t="str">
        <f t="shared" ca="1" si="4"/>
        <v/>
      </c>
      <c r="D33" s="89" t="str">
        <f ca="1">IF(ISNA($A33),"",IFERROR(SUMIFS(D_D[INV],D_D[MT],6,D_D[CAT],SMS,D_D[LOC],$A33),0))</f>
        <v/>
      </c>
      <c r="E33" s="89" t="str">
        <f ca="1">IF(ISNA($A33),"",IFERROR(SUMIFS(D_D[BL],D_D[MT],6,D_D[CAT],SMS,D_D[LOC],$A33),0))</f>
        <v/>
      </c>
      <c r="F33" s="91" t="str">
        <f t="shared" ca="1" si="5"/>
        <v/>
      </c>
      <c r="G33" s="90" t="str">
        <f ca="1">IF(ISNA($A33),"",IFERROR(SUMIFS(D_D[ADP],D_D[MT],6,D_D[CAT],SMS,D_D[LOC],$A33),0))</f>
        <v/>
      </c>
      <c r="H33" s="89" t="str">
        <f ca="1">IF(ISNA($A33),"",IFERROR(SUMIFS(D_D[PROD_MTD],D_D[MT],6,D_D[CAT],SMS,D_D[LOC],$A33),0))</f>
        <v/>
      </c>
      <c r="I33" s="90" t="str">
        <f ca="1">IF(ISNA($A33),"",IFERROR(SUMIFS(D_D[ADCM],D_D[MT],6,D_D[CAT],SMS,D_D[LOC],$A33),0))</f>
        <v/>
      </c>
      <c r="J33" s="89" t="str">
        <f ca="1">IF(ISNA($A33),"",IFERROR(SUMIFS(D_D[PROD_FYTD],D_D[MT],6,D_D[CAT],SMS,D_D[LOC],$A33),0))</f>
        <v/>
      </c>
      <c r="K33" s="90" t="str">
        <f ca="1">IF(ISNA($A33),"",IFERROR(SUMIFS(D_D[ADCF],D_D[MT],6,D_D[CAT],SMS,D_D[LOC],$A33),0))</f>
        <v/>
      </c>
      <c r="L33" s="129"/>
      <c r="M33" s="129"/>
      <c r="N33" s="129"/>
      <c r="O33" s="129"/>
      <c r="P33" s="129"/>
      <c r="Q33" s="129"/>
      <c r="R33" s="6"/>
    </row>
    <row r="34" spans="1:18" ht="12.75" x14ac:dyDescent="0.2">
      <c r="A34" s="120" t="e">
        <f t="shared" ca="1" si="0"/>
        <v>#N/A</v>
      </c>
      <c r="B34" s="23">
        <v>22</v>
      </c>
      <c r="C34" s="150" t="str">
        <f t="shared" ca="1" si="4"/>
        <v/>
      </c>
      <c r="D34" s="89" t="str">
        <f ca="1">IF(ISNA($A34),"",IFERROR(SUMIFS(D_D[INV],D_D[MT],6,D_D[CAT],SMS,D_D[LOC],$A34),0))</f>
        <v/>
      </c>
      <c r="E34" s="89" t="str">
        <f ca="1">IF(ISNA($A34),"",IFERROR(SUMIFS(D_D[BL],D_D[MT],6,D_D[CAT],SMS,D_D[LOC],$A34),0))</f>
        <v/>
      </c>
      <c r="F34" s="91" t="str">
        <f t="shared" ca="1" si="5"/>
        <v/>
      </c>
      <c r="G34" s="90" t="str">
        <f ca="1">IF(ISNA($A34),"",IFERROR(SUMIFS(D_D[ADP],D_D[MT],6,D_D[CAT],SMS,D_D[LOC],$A34),0))</f>
        <v/>
      </c>
      <c r="H34" s="89" t="str">
        <f ca="1">IF(ISNA($A34),"",IFERROR(SUMIFS(D_D[PROD_MTD],D_D[MT],6,D_D[CAT],SMS,D_D[LOC],$A34),0))</f>
        <v/>
      </c>
      <c r="I34" s="90" t="str">
        <f ca="1">IF(ISNA($A34),"",IFERROR(SUMIFS(D_D[ADCM],D_D[MT],6,D_D[CAT],SMS,D_D[LOC],$A34),0))</f>
        <v/>
      </c>
      <c r="J34" s="89" t="str">
        <f ca="1">IF(ISNA($A34),"",IFERROR(SUMIFS(D_D[PROD_FYTD],D_D[MT],6,D_D[CAT],SMS,D_D[LOC],$A34),0))</f>
        <v/>
      </c>
      <c r="K34" s="90" t="str">
        <f ca="1">IF(ISNA($A34),"",IFERROR(SUMIFS(D_D[ADCF],D_D[MT],6,D_D[CAT],SMS,D_D[LOC],$A34),0))</f>
        <v/>
      </c>
      <c r="L34" s="129"/>
      <c r="M34" s="129"/>
      <c r="N34" s="129"/>
      <c r="O34" s="129"/>
      <c r="P34" s="129"/>
      <c r="Q34" s="129"/>
      <c r="R34" s="6"/>
    </row>
    <row r="35" spans="1:18" ht="12.75" x14ac:dyDescent="0.2">
      <c r="A35" s="120" t="e">
        <f t="shared" ca="1" si="0"/>
        <v>#N/A</v>
      </c>
      <c r="B35" s="23">
        <v>23</v>
      </c>
      <c r="C35" s="150" t="str">
        <f t="shared" ca="1" si="4"/>
        <v/>
      </c>
      <c r="D35" s="89" t="str">
        <f ca="1">IF(ISNA($A35),"",IFERROR(SUMIFS(D_D[INV],D_D[MT],6,D_D[CAT],SMS,D_D[LOC],$A35),0))</f>
        <v/>
      </c>
      <c r="E35" s="89" t="str">
        <f ca="1">IF(ISNA($A35),"",IFERROR(SUMIFS(D_D[BL],D_D[MT],6,D_D[CAT],SMS,D_D[LOC],$A35),0))</f>
        <v/>
      </c>
      <c r="F35" s="91" t="str">
        <f t="shared" ca="1" si="5"/>
        <v/>
      </c>
      <c r="G35" s="90" t="str">
        <f ca="1">IF(ISNA($A35),"",IFERROR(SUMIFS(D_D[ADP],D_D[MT],6,D_D[CAT],SMS,D_D[LOC],$A35),0))</f>
        <v/>
      </c>
      <c r="H35" s="89" t="str">
        <f ca="1">IF(ISNA($A35),"",IFERROR(SUMIFS(D_D[PROD_MTD],D_D[MT],6,D_D[CAT],SMS,D_D[LOC],$A35),0))</f>
        <v/>
      </c>
      <c r="I35" s="90" t="str">
        <f ca="1">IF(ISNA($A35),"",IFERROR(SUMIFS(D_D[ADCM],D_D[MT],6,D_D[CAT],SMS,D_D[LOC],$A35),0))</f>
        <v/>
      </c>
      <c r="J35" s="89" t="str">
        <f ca="1">IF(ISNA($A35),"",IFERROR(SUMIFS(D_D[PROD_FYTD],D_D[MT],6,D_D[CAT],SMS,D_D[LOC],$A35),0))</f>
        <v/>
      </c>
      <c r="K35" s="90" t="str">
        <f ca="1">IF(ISNA($A35),"",IFERROR(SUMIFS(D_D[ADCF],D_D[MT],6,D_D[CAT],SMS,D_D[LOC],$A35),0))</f>
        <v/>
      </c>
      <c r="L35" s="129"/>
      <c r="M35" s="129"/>
      <c r="N35" s="129"/>
      <c r="O35" s="129"/>
      <c r="P35" s="129"/>
      <c r="Q35" s="129"/>
      <c r="R35" s="6"/>
    </row>
    <row r="36" spans="1:18" ht="8.1" customHeight="1" x14ac:dyDescent="0.2">
      <c r="B36" s="4"/>
      <c r="C36" s="5"/>
      <c r="D36" s="5"/>
      <c r="E36" s="5"/>
      <c r="F36" s="5"/>
      <c r="G36" s="5"/>
      <c r="H36" s="5"/>
      <c r="I36" s="5"/>
      <c r="J36" s="5"/>
      <c r="K36" s="5"/>
      <c r="L36" s="5"/>
      <c r="M36" s="5"/>
      <c r="N36" s="5"/>
      <c r="O36" s="5"/>
      <c r="P36" s="5"/>
      <c r="Q36" s="5"/>
      <c r="R36" s="6"/>
    </row>
    <row r="37" spans="1:18" ht="12.75" hidden="1" customHeight="1" x14ac:dyDescent="0.2"/>
    <row r="38" spans="1:18" ht="12.75" hidden="1" customHeight="1" x14ac:dyDescent="0.2"/>
    <row r="39" spans="1:18" ht="12.75" hidden="1" customHeight="1" x14ac:dyDescent="0.2"/>
  </sheetData>
  <sheetProtection autoFilter="0"/>
  <protectedRanges>
    <protectedRange sqref="D13:K35" name="SOJ"/>
    <protectedRange sqref="D12:K12" name="SOJ_1"/>
  </protectedRanges>
  <mergeCells count="16">
    <mergeCell ref="J9:J11"/>
    <mergeCell ref="K9:K11"/>
    <mergeCell ref="L9:Q11"/>
    <mergeCell ref="G9:G11"/>
    <mergeCell ref="L2:Q2"/>
    <mergeCell ref="L3:Q3"/>
    <mergeCell ref="D2:K2"/>
    <mergeCell ref="D3:K3"/>
    <mergeCell ref="D8:K8"/>
    <mergeCell ref="L8:Q8"/>
    <mergeCell ref="D9:D11"/>
    <mergeCell ref="E9:E11"/>
    <mergeCell ref="F9:F11"/>
    <mergeCell ref="H9:H11"/>
    <mergeCell ref="I9:I11"/>
    <mergeCell ref="L7:Q7"/>
  </mergeCells>
  <conditionalFormatting sqref="B1:R1 B5:B6 B36:R36 B4:R4 B2:D3 L2:R3 B7:K7 B10:C11 B9:D9 G9 L12:R35 B8:C8 R5:R11 B12:B35">
    <cfRule type="expression" dxfId="507" priority="70">
      <formula>IF(OR(ISERROR(B1),B1="ERROR"),TRUE,FALSE)</formula>
    </cfRule>
  </conditionalFormatting>
  <conditionalFormatting sqref="C5:C6">
    <cfRule type="expression" dxfId="506" priority="68">
      <formula>IF(OR(ISERROR(C5),C5="ERROR"),TRUE,FALSE)</formula>
    </cfRule>
  </conditionalFormatting>
  <conditionalFormatting sqref="D5">
    <cfRule type="expression" dxfId="505" priority="31">
      <formula>IF(OR(ISERROR(D5),D5="ERROR"),TRUE,FALSE)</formula>
    </cfRule>
  </conditionalFormatting>
  <conditionalFormatting sqref="E9">
    <cfRule type="expression" dxfId="504" priority="12">
      <formula>IF(OR(ISERROR(E9),E9="ERROR"),TRUE,FALSE)</formula>
    </cfRule>
  </conditionalFormatting>
  <conditionalFormatting sqref="F9">
    <cfRule type="expression" dxfId="503" priority="11">
      <formula>IF(OR(ISERROR(F9),F9="ERROR"),TRUE,FALSE)</formula>
    </cfRule>
  </conditionalFormatting>
  <conditionalFormatting sqref="H9">
    <cfRule type="expression" dxfId="502" priority="10">
      <formula>IF(OR(ISERROR(H9),H9="ERROR"),TRUE,FALSE)</formula>
    </cfRule>
  </conditionalFormatting>
  <conditionalFormatting sqref="I9">
    <cfRule type="expression" dxfId="501" priority="9">
      <formula>IF(OR(ISERROR(I9),I9="ERROR"),TRUE,FALSE)</formula>
    </cfRule>
  </conditionalFormatting>
  <conditionalFormatting sqref="J9">
    <cfRule type="expression" dxfId="500" priority="6">
      <formula>IF(OR(ISERROR(J9),J9="ERROR"),TRUE,FALSE)</formula>
    </cfRule>
  </conditionalFormatting>
  <conditionalFormatting sqref="K9">
    <cfRule type="expression" dxfId="499" priority="5">
      <formula>IF(OR(ISERROR(K9),K9="ERROR"),TRUE,FALSE)</formula>
    </cfRule>
  </conditionalFormatting>
  <conditionalFormatting sqref="D8 L8">
    <cfRule type="expression" dxfId="498" priority="4">
      <formula>IF(OR(ISERROR(D8),D8="ERROR"),TRUE,FALSE)</formula>
    </cfRule>
  </conditionalFormatting>
  <conditionalFormatting sqref="L9">
    <cfRule type="expression" dxfId="497" priority="3">
      <formula>IF(OR(ISERROR(L9),L9="ERROR"),TRUE,FALSE)</formula>
    </cfRule>
  </conditionalFormatting>
  <conditionalFormatting sqref="D6">
    <cfRule type="expression" dxfId="496" priority="2">
      <formula>IF(OR(ISERROR(D6),D6="ERROR"),TRUE,FALSE)</formula>
    </cfRule>
  </conditionalFormatting>
  <conditionalFormatting sqref="L7">
    <cfRule type="expression" dxfId="495" priority="1">
      <formula>IF(OR(ISERROR(L7),L7="ERROR"),TRUE,FALSE)</formula>
    </cfRule>
  </conditionalFormatting>
  <hyperlinks>
    <hyperlink ref="L9:Q11" location="'Rating Bundle - SOJ'!A1" display="Accuracy measurement is available on the Rating Bundle SOJ tab" xr:uid="{00000000-0004-0000-0400-000000000000}"/>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3737" r:id="rId4" name="Option Button 9">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73738" r:id="rId5" name="Option Button 10">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73739" r:id="rId6" name="Drop Down 11">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73740" r:id="rId7" name="Option Button 12">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73741" r:id="rId8" name="Option Button 13">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73742" r:id="rId9" name="Option Button 14">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0"/>
  <dimension ref="A1:R40"/>
  <sheetViews>
    <sheetView showGridLines="0" zoomScaleNormal="100" zoomScaleSheetLayoutView="80" workbookViewId="0">
      <pane xSplit="3" ySplit="12" topLeftCell="D13" activePane="bottomRight" state="frozen"/>
      <selection activeCell="B1" sqref="B1"/>
      <selection pane="topRight" activeCell="D1" sqref="D1"/>
      <selection pane="bottomLeft" activeCell="B13" sqref="B13"/>
      <selection pane="bottomRight" activeCell="C12" sqref="C12"/>
    </sheetView>
  </sheetViews>
  <sheetFormatPr defaultColWidth="0" defaultRowHeight="0" customHeight="1" zeroHeight="1" x14ac:dyDescent="0.2"/>
  <cols>
    <col min="1" max="1" width="1.140625" hidden="1" customWidth="1"/>
    <col min="2" max="2" width="1.7109375" customWidth="1"/>
    <col min="3" max="3" width="32.5703125" customWidth="1"/>
    <col min="4" max="12" width="12.7109375" customWidth="1"/>
    <col min="13" max="13" width="1.7109375" customWidth="1"/>
    <col min="14" max="18" width="0" hidden="1" customWidth="1"/>
    <col min="19" max="16384" width="9.140625" hidden="1"/>
  </cols>
  <sheetData>
    <row r="1" spans="1:13" ht="8.1" customHeight="1" x14ac:dyDescent="0.2">
      <c r="B1" s="4"/>
      <c r="C1" s="5"/>
      <c r="D1" s="5"/>
      <c r="E1" s="5"/>
      <c r="F1" s="5"/>
      <c r="G1" s="5"/>
      <c r="H1" s="5"/>
      <c r="I1" s="5"/>
      <c r="J1" s="5"/>
      <c r="K1" s="5"/>
      <c r="L1" s="5"/>
      <c r="M1" s="6"/>
    </row>
    <row r="2" spans="1:13" ht="15" customHeight="1" x14ac:dyDescent="0.2">
      <c r="B2" s="4"/>
      <c r="C2" s="130" t="s">
        <v>449</v>
      </c>
      <c r="D2" s="293" t="s">
        <v>804</v>
      </c>
      <c r="E2" s="294"/>
      <c r="F2" s="294"/>
      <c r="G2" s="294"/>
      <c r="H2" s="294"/>
      <c r="I2" s="310"/>
      <c r="J2" s="293" t="s">
        <v>460</v>
      </c>
      <c r="K2" s="294"/>
      <c r="L2" s="310"/>
      <c r="M2" s="6"/>
    </row>
    <row r="3" spans="1:13" ht="15" customHeight="1" x14ac:dyDescent="0.2">
      <c r="B3" s="4"/>
      <c r="C3" s="92"/>
      <c r="D3" s="299" t="s">
        <v>808</v>
      </c>
      <c r="E3" s="300"/>
      <c r="F3" s="300"/>
      <c r="G3" s="300"/>
      <c r="H3" s="300"/>
      <c r="I3" s="320"/>
      <c r="J3" s="340">
        <f>D_DT[]</f>
        <v>43540</v>
      </c>
      <c r="K3" s="321"/>
      <c r="L3" s="322"/>
      <c r="M3" s="6"/>
    </row>
    <row r="4" spans="1:13" ht="15" customHeight="1" x14ac:dyDescent="0.2">
      <c r="B4" s="4"/>
      <c r="C4" s="92"/>
      <c r="D4" s="344" t="s">
        <v>470</v>
      </c>
      <c r="E4" s="345"/>
      <c r="F4" s="345"/>
      <c r="G4" s="345"/>
      <c r="H4" s="345"/>
      <c r="I4" s="346"/>
      <c r="J4" s="163" t="s">
        <v>454</v>
      </c>
      <c r="K4" s="163"/>
      <c r="L4" s="164"/>
      <c r="M4" s="6"/>
    </row>
    <row r="5" spans="1:13" ht="15" customHeight="1" x14ac:dyDescent="0.3">
      <c r="B5" s="7"/>
      <c r="C5" s="87"/>
      <c r="D5" s="341" t="s">
        <v>453</v>
      </c>
      <c r="E5" s="342"/>
      <c r="F5" s="342"/>
      <c r="G5" s="342"/>
      <c r="H5" s="342"/>
      <c r="I5" s="343"/>
      <c r="J5" s="118"/>
      <c r="K5" s="118"/>
      <c r="L5" s="166"/>
      <c r="M5" s="71"/>
    </row>
    <row r="6" spans="1:13" ht="15" customHeight="1" x14ac:dyDescent="0.3">
      <c r="B6" s="7"/>
      <c r="C6" s="87"/>
      <c r="D6" s="341" t="s">
        <v>849</v>
      </c>
      <c r="E6" s="342"/>
      <c r="F6" s="342"/>
      <c r="G6" s="342"/>
      <c r="H6" s="342"/>
      <c r="I6" s="343"/>
      <c r="J6" s="334" t="s">
        <v>835</v>
      </c>
      <c r="K6" s="335"/>
      <c r="L6" s="336"/>
      <c r="M6" s="71"/>
    </row>
    <row r="7" spans="1:13" ht="15" customHeight="1" x14ac:dyDescent="0.2">
      <c r="B7" s="6"/>
      <c r="C7" s="9"/>
      <c r="D7" s="337" t="s">
        <v>850</v>
      </c>
      <c r="E7" s="338"/>
      <c r="F7" s="338"/>
      <c r="G7" s="338"/>
      <c r="H7" s="338"/>
      <c r="I7" s="339"/>
      <c r="J7" s="171"/>
      <c r="K7" s="167"/>
      <c r="L7" s="168"/>
      <c r="M7" s="9"/>
    </row>
    <row r="8" spans="1:13" s="86" customFormat="1" ht="15" customHeight="1" x14ac:dyDescent="0.25">
      <c r="B8" s="84"/>
      <c r="C8" s="8"/>
      <c r="D8" s="332" t="s">
        <v>471</v>
      </c>
      <c r="E8" s="333"/>
      <c r="F8" s="333"/>
      <c r="G8" s="333"/>
      <c r="H8" s="309" t="s">
        <v>479</v>
      </c>
      <c r="I8" s="309"/>
      <c r="J8" s="309"/>
      <c r="K8" s="309"/>
      <c r="L8" s="309"/>
      <c r="M8" s="85"/>
    </row>
    <row r="9" spans="1:13" s="86" customFormat="1" ht="15" customHeight="1" x14ac:dyDescent="0.25">
      <c r="B9" s="84"/>
      <c r="C9" s="119" t="s">
        <v>434</v>
      </c>
      <c r="D9" s="303" t="s">
        <v>462</v>
      </c>
      <c r="E9" s="303" t="s">
        <v>463</v>
      </c>
      <c r="F9" s="303" t="s">
        <v>464</v>
      </c>
      <c r="G9" s="317" t="s">
        <v>106</v>
      </c>
      <c r="H9" s="301" t="s">
        <v>373</v>
      </c>
      <c r="I9" s="301" t="s">
        <v>374</v>
      </c>
      <c r="J9" s="301" t="s">
        <v>375</v>
      </c>
      <c r="K9" s="301" t="s">
        <v>376</v>
      </c>
      <c r="L9" s="301" t="s">
        <v>377</v>
      </c>
      <c r="M9" s="85"/>
    </row>
    <row r="10" spans="1:13" s="86" customFormat="1" ht="15" customHeight="1" x14ac:dyDescent="0.25">
      <c r="B10" s="84"/>
      <c r="C10" s="8"/>
      <c r="D10" s="308"/>
      <c r="E10" s="308"/>
      <c r="F10" s="308"/>
      <c r="G10" s="308"/>
      <c r="H10" s="301"/>
      <c r="I10" s="301"/>
      <c r="J10" s="301"/>
      <c r="K10" s="301"/>
      <c r="L10" s="301"/>
      <c r="M10" s="85"/>
    </row>
    <row r="11" spans="1:13" s="86" customFormat="1" ht="15" customHeight="1" x14ac:dyDescent="0.25">
      <c r="B11" s="84"/>
      <c r="C11" s="8"/>
      <c r="D11" s="309"/>
      <c r="E11" s="309"/>
      <c r="F11" s="309"/>
      <c r="G11" s="309"/>
      <c r="H11" s="301"/>
      <c r="I11" s="301"/>
      <c r="J11" s="301"/>
      <c r="K11" s="301"/>
      <c r="L11" s="301"/>
      <c r="M11" s="85"/>
    </row>
    <row r="12" spans="1:13" ht="12.75" x14ac:dyDescent="0.2">
      <c r="A12" s="120">
        <v>100</v>
      </c>
      <c r="B12" s="23"/>
      <c r="C12" s="148" t="str">
        <f>Driver!$C$20&amp; " Total"</f>
        <v>USA - All Missions Total</v>
      </c>
      <c r="D12" s="153">
        <f>IF(ISNA($A12),"",IFERROR(SUMIFS(D_D[INV],D_D[MT],5,D_D[CAT],SMS, D_D[EP],-1,D_D[LOC],$A12),0))</f>
        <v>365584</v>
      </c>
      <c r="E12" s="153">
        <f>IF(ISNA($A12),"",IFERROR(SUMIFS(D_D[BL],D_D[MT],5,D_D[CAT],SMS, D_D[EP],-1,D_D[LOC],$A12),0))</f>
        <v>81966</v>
      </c>
      <c r="F12" s="154">
        <f>IF(ISNA($A12),"",IFERROR(E12/D12,0))</f>
        <v>0.22420565451442076</v>
      </c>
      <c r="G12" s="155">
        <f>IF(ISNA($A12),"",IFERROR(SUMIFS(D_D[ADP],D_D[MT],5,D_D[CAT],SMS, D_D[EP],-1,D_D[LOC],$A12),0))</f>
        <v>95.33</v>
      </c>
      <c r="H12" s="154">
        <f>IF(ISNA($A12),"",IFERROR(SUMIFS(D_D[DEV],D_D[MT],5,D_D[CAT],SMS, D_D[EP],-1,D_D[LOC],$A12)/$D12,0))</f>
        <v>6.7103593155061494E-2</v>
      </c>
      <c r="I12" s="154">
        <f>IF(ISNA($A12),"",IFERROR(SUMIFS(D_D[EVD],D_D[MT],5,D_D[CAT],SMS, D_D[EP],-1,D_D[LOC],$A12)/$D12,0))</f>
        <v>0.64182513457919388</v>
      </c>
      <c r="J12" s="154">
        <f>IF(ISNA($A12),"",IFERROR(SUMIFS(D_D[DEC],D_D[MT],5,D_D[CAT],SMS, D_D[EP],-1,D_D[LOC],$A12)/$D12,0))</f>
        <v>0.2285329773731892</v>
      </c>
      <c r="K12" s="154">
        <f>IF(ISNA($A12),"",IFERROR(SUMIFS(D_D[AWD],D_D[MT],5,D_D[CAT],SMS, D_D[EP],-1,D_D[LOC],$A12)/$D12,0))</f>
        <v>5.3194341109020091E-2</v>
      </c>
      <c r="L12" s="154">
        <f>IF(ISNA($A12),"",IFERROR(SUMIFS(D_D[AUT],D_D[MT],5,D_D[CAT],SMS, D_D[EP],-1,D_D[LOC],$A12)/$D12,0))</f>
        <v>9.3384830845988885E-3</v>
      </c>
      <c r="M12" s="6"/>
    </row>
    <row r="13" spans="1:13" ht="12.75" x14ac:dyDescent="0.2">
      <c r="A13" s="120">
        <v>499</v>
      </c>
      <c r="B13" s="23"/>
      <c r="C13" s="149" t="str">
        <f>"NWQ-"&amp;Driver!$C$20&amp; " Total"</f>
        <v>NWQ-USA - All Missions Total</v>
      </c>
      <c r="D13" s="156">
        <f>IF(ISNA($A13),"",IFERROR(SUMIFS(D_D[INV],D_D[MT],5,D_D[CAT],SMS, D_D[EP],-1,D_D[LOC],$A13),0))</f>
        <v>251510</v>
      </c>
      <c r="E13" s="156">
        <f>IF(ISNA($A13),"",IFERROR(SUMIFS(D_D[BL],D_D[MT],5,D_D[CAT],SMS, D_D[EP],-1,D_D[LOC],$A13),0))</f>
        <v>46885</v>
      </c>
      <c r="F13" s="157">
        <f t="shared" ref="F13" si="0">IF(ISNA($A13),"",IFERROR(E13/D13,0))</f>
        <v>0.18641405908313785</v>
      </c>
      <c r="G13" s="158">
        <f>IF(ISNA($A13),"",IFERROR(SUMIFS(D_D[ADP],D_D[MT],5,D_D[CAT],SMS, D_D[EP],-1,D_D[LOC],$A13),0))</f>
        <v>88.57</v>
      </c>
      <c r="H13" s="157">
        <f>IF(ISNA($A13),"",IFERROR(SUMIFS(D_D[DEV],D_D[MT],5,D_D[CAT],SMS, D_D[EP],-1,D_D[LOC],$A13)/$D13,0))</f>
        <v>3.2837660530396405E-2</v>
      </c>
      <c r="I13" s="157">
        <f>IF(ISNA($A13),"",IFERROR(SUMIFS(D_D[EVD],D_D[MT],5,D_D[CAT],SMS, D_D[EP],-1,D_D[LOC],$A13)/$D13,0))</f>
        <v>0.67834280943103653</v>
      </c>
      <c r="J13" s="157">
        <f>IF(ISNA($A13),"",IFERROR(SUMIFS(D_D[DEC],D_D[MT],5,D_D[CAT],SMS, D_D[EP],-1,D_D[LOC],$A13)/$D13,0))</f>
        <v>0.27036300743509206</v>
      </c>
      <c r="K13" s="157">
        <f>IF(ISNA($A13),"",IFERROR(SUMIFS(D_D[AWD],D_D[MT],5,D_D[CAT],SMS, D_D[EP],-1,D_D[LOC],$A13)/$D13,0))</f>
        <v>1.8456522603475013E-2</v>
      </c>
      <c r="L13" s="157">
        <f>IF(ISNA($A13),"",IFERROR(SUMIFS(D_D[AUT],D_D[MT],5,D_D[CAT],SMS, D_D[EP],-1,D_D[LOC],$A13)/$D13,0))</f>
        <v>0</v>
      </c>
      <c r="M13" s="6"/>
    </row>
    <row r="14" spans="1:13" ht="12.75" x14ac:dyDescent="0.2">
      <c r="A14" s="120">
        <f t="shared" ref="A14:A36" ca="1" si="1">INDEX(RO,(MATCH($C14,RO_D,0)))</f>
        <v>394</v>
      </c>
      <c r="B14" s="23">
        <v>1</v>
      </c>
      <c r="C14" s="150" t="str">
        <f t="shared" ref="C14" ca="1" si="2">IFERROR(INDEX(INDIRECT(DS_RO),B14),"")</f>
        <v>Northeast District</v>
      </c>
      <c r="D14" s="159">
        <f ca="1">IF(ISNA($A14),"",IFERROR(SUMIFS(D_D[INV],D_D[MT],5,D_D[CAT],SMS, D_D[EP],-1,D_D[LOC],$A14),0))</f>
        <v>26653</v>
      </c>
      <c r="E14" s="159">
        <f ca="1">IF(ISNA($A14),"",IFERROR(SUMIFS(D_D[BL],D_D[MT],5,D_D[CAT],SMS, D_D[EP],-1,D_D[LOC],$A14),0))</f>
        <v>7059</v>
      </c>
      <c r="F14" s="160">
        <f t="shared" ref="F14" ca="1" si="3">IF(ISNA($A14),"",IFERROR(E14/D14,0))</f>
        <v>0.26484823472029417</v>
      </c>
      <c r="G14" s="161">
        <f ca="1">IF(ISNA($A14),"",IFERROR(SUMIFS(D_D[ADP],D_D[MT],5,D_D[CAT],SMS, D_D[EP],-1,D_D[LOC],$A14),0))</f>
        <v>258.16000000000003</v>
      </c>
      <c r="H14" s="160">
        <f ca="1">IF(ISNA($A14),"",IFERROR(SUMIFS(D_D[DEV],D_D[MT],5,D_D[CAT],SMS, D_D[EP],-1,D_D[LOC],$A14)/$D14,0))</f>
        <v>0.17825385510073913</v>
      </c>
      <c r="I14" s="160">
        <f ca="1">IF(ISNA($A14),"",IFERROR(SUMIFS(D_D[EVD],D_D[MT],5,D_D[CAT],SMS, D_D[EP],-1,D_D[LOC],$A14)/$D14,0))</f>
        <v>0.49911829812779052</v>
      </c>
      <c r="J14" s="160">
        <f ca="1">IF(ISNA($A14),"",IFERROR(SUMIFS(D_D[DEC],D_D[MT],5,D_D[CAT],SMS, D_D[EP],-1,D_D[LOC],$A14)/$D14,0))</f>
        <v>0.11957378156305107</v>
      </c>
      <c r="K14" s="160">
        <f ca="1">IF(ISNA($A14),"",IFERROR(SUMIFS(D_D[AWD],D_D[MT],5,D_D[CAT],SMS, D_D[EP],-1,D_D[LOC],$A14)/$D14,0))</f>
        <v>0.16763591340562037</v>
      </c>
      <c r="L14" s="160">
        <f ca="1">IF(ISNA($A14),"",IFERROR(SUMIFS(D_D[AUT],D_D[MT],5,D_D[CAT],SMS, D_D[EP],-1,D_D[LOC],$A14)/$D14,0))</f>
        <v>3.5343113345589615E-2</v>
      </c>
      <c r="M14" s="6"/>
    </row>
    <row r="15" spans="1:13" ht="12.75" x14ac:dyDescent="0.2">
      <c r="A15" s="120" t="str">
        <f t="shared" ca="1" si="1"/>
        <v>313</v>
      </c>
      <c r="B15" s="23">
        <v>2</v>
      </c>
      <c r="C15" s="150" t="str">
        <f t="shared" ref="C15:C36" ca="1" si="4">IFERROR(INDEX(INDIRECT(DS_RO),B15),"")</f>
        <v>Baltimore</v>
      </c>
      <c r="D15" s="159">
        <f ca="1">IF(ISNA($A15),"",IFERROR(SUMIFS(D_D[INV],D_D[MT],5,D_D[CAT],SMS, D_D[EP],-1,D_D[LOC],$A15),0))</f>
        <v>898</v>
      </c>
      <c r="E15" s="159">
        <f ca="1">IF(ISNA($A15),"",IFERROR(SUMIFS(D_D[BL],D_D[MT],5,D_D[CAT],SMS, D_D[EP],-1,D_D[LOC],$A15),0))</f>
        <v>97</v>
      </c>
      <c r="F15" s="160">
        <f t="shared" ref="F15:F36" ca="1" si="5">IF(ISNA($A15),"",IFERROR(E15/D15,0))</f>
        <v>0.10801781737193764</v>
      </c>
      <c r="G15" s="161">
        <f ca="1">IF(ISNA($A15),"",IFERROR(SUMIFS(D_D[ADP],D_D[MT],5,D_D[CAT],SMS, D_D[EP],-1,D_D[LOC],$A15),0))</f>
        <v>78.86</v>
      </c>
      <c r="H15" s="160">
        <f ca="1">IF(ISNA($A15),"",IFERROR(SUMIFS(D_D[DEV],D_D[MT],5,D_D[CAT],SMS, D_D[EP],-1,D_D[LOC],$A15)/$D15,0))</f>
        <v>0.19599109131403117</v>
      </c>
      <c r="I15" s="160">
        <f ca="1">IF(ISNA($A15),"",IFERROR(SUMIFS(D_D[EVD],D_D[MT],5,D_D[CAT],SMS, D_D[EP],-1,D_D[LOC],$A15)/$D15,0))</f>
        <v>0.52115812917594651</v>
      </c>
      <c r="J15" s="160">
        <f ca="1">IF(ISNA($A15),"",IFERROR(SUMIFS(D_D[DEC],D_D[MT],5,D_D[CAT],SMS, D_D[EP],-1,D_D[LOC],$A15)/$D15,0))</f>
        <v>0.11581291759465479</v>
      </c>
      <c r="K15" s="160">
        <f ca="1">IF(ISNA($A15),"",IFERROR(SUMIFS(D_D[AWD],D_D[MT],5,D_D[CAT],SMS, D_D[EP],-1,D_D[LOC],$A15)/$D15,0))</f>
        <v>0.14810690423162584</v>
      </c>
      <c r="L15" s="160">
        <f ca="1">IF(ISNA($A15),"",IFERROR(SUMIFS(D_D[AUT],D_D[MT],5,D_D[CAT],SMS, D_D[EP],-1,D_D[LOC],$A15)/$D15,0))</f>
        <v>1.8930957683741648E-2</v>
      </c>
      <c r="M15" s="6"/>
    </row>
    <row r="16" spans="1:13" ht="12.75" x14ac:dyDescent="0.2">
      <c r="A16" s="120" t="str">
        <f t="shared" ca="1" si="1"/>
        <v>301</v>
      </c>
      <c r="B16" s="23">
        <v>3</v>
      </c>
      <c r="C16" s="150" t="str">
        <f t="shared" ca="1" si="4"/>
        <v>Boston</v>
      </c>
      <c r="D16" s="159">
        <f ca="1">IF(ISNA($A16),"",IFERROR(SUMIFS(D_D[INV],D_D[MT],5,D_D[CAT],SMS, D_D[EP],-1,D_D[LOC],$A16),0))</f>
        <v>1106</v>
      </c>
      <c r="E16" s="159">
        <f ca="1">IF(ISNA($A16),"",IFERROR(SUMIFS(D_D[BL],D_D[MT],5,D_D[CAT],SMS, D_D[EP],-1,D_D[LOC],$A16),0))</f>
        <v>195</v>
      </c>
      <c r="F16" s="160">
        <f t="shared" ca="1" si="5"/>
        <v>0.1763110307414105</v>
      </c>
      <c r="G16" s="161">
        <f ca="1">IF(ISNA($A16),"",IFERROR(SUMIFS(D_D[ADP],D_D[MT],5,D_D[CAT],SMS, D_D[EP],-1,D_D[LOC],$A16),0))</f>
        <v>92.97</v>
      </c>
      <c r="H16" s="160">
        <f ca="1">IF(ISNA($A16),"",IFERROR(SUMIFS(D_D[DEV],D_D[MT],5,D_D[CAT],SMS, D_D[EP],-1,D_D[LOC],$A16)/$D16,0))</f>
        <v>0.13110307414104883</v>
      </c>
      <c r="I16" s="160">
        <f ca="1">IF(ISNA($A16),"",IFERROR(SUMIFS(D_D[EVD],D_D[MT],5,D_D[CAT],SMS, D_D[EP],-1,D_D[LOC],$A16)/$D16,0))</f>
        <v>0.61754068716094035</v>
      </c>
      <c r="J16" s="160">
        <f ca="1">IF(ISNA($A16),"",IFERROR(SUMIFS(D_D[DEC],D_D[MT],5,D_D[CAT],SMS, D_D[EP],-1,D_D[LOC],$A16)/$D16,0))</f>
        <v>0.19710669077757687</v>
      </c>
      <c r="K16" s="160">
        <f ca="1">IF(ISNA($A16),"",IFERROR(SUMIFS(D_D[AWD],D_D[MT],5,D_D[CAT],SMS, D_D[EP],-1,D_D[LOC],$A16)/$D16,0))</f>
        <v>2.6220614828209764E-2</v>
      </c>
      <c r="L16" s="160">
        <f ca="1">IF(ISNA($A16),"",IFERROR(SUMIFS(D_D[AUT],D_D[MT],5,D_D[CAT],SMS, D_D[EP],-1,D_D[LOC],$A16)/$D16,0))</f>
        <v>2.8028933092224231E-2</v>
      </c>
      <c r="M16" s="6"/>
    </row>
    <row r="17" spans="1:13" ht="12.75" x14ac:dyDescent="0.2">
      <c r="A17" s="120" t="str">
        <f t="shared" ca="1" si="1"/>
        <v>307</v>
      </c>
      <c r="B17" s="23">
        <v>4</v>
      </c>
      <c r="C17" s="150" t="str">
        <f t="shared" ca="1" si="4"/>
        <v>Buffalo</v>
      </c>
      <c r="D17" s="159">
        <f ca="1">IF(ISNA($A17),"",IFERROR(SUMIFS(D_D[INV],D_D[MT],5,D_D[CAT],SMS, D_D[EP],-1,D_D[LOC],$A17),0))</f>
        <v>726</v>
      </c>
      <c r="E17" s="159">
        <f ca="1">IF(ISNA($A17),"",IFERROR(SUMIFS(D_D[BL],D_D[MT],5,D_D[CAT],SMS, D_D[EP],-1,D_D[LOC],$A17),0))</f>
        <v>40</v>
      </c>
      <c r="F17" s="160">
        <f t="shared" ca="1" si="5"/>
        <v>5.5096418732782371E-2</v>
      </c>
      <c r="G17" s="161">
        <f ca="1">IF(ISNA($A17),"",IFERROR(SUMIFS(D_D[ADP],D_D[MT],5,D_D[CAT],SMS, D_D[EP],-1,D_D[LOC],$A17),0))</f>
        <v>73.87</v>
      </c>
      <c r="H17" s="160">
        <f ca="1">IF(ISNA($A17),"",IFERROR(SUMIFS(D_D[DEV],D_D[MT],5,D_D[CAT],SMS, D_D[EP],-1,D_D[LOC],$A17)/$D17,0))</f>
        <v>0.1487603305785124</v>
      </c>
      <c r="I17" s="160">
        <f ca="1">IF(ISNA($A17),"",IFERROR(SUMIFS(D_D[EVD],D_D[MT],5,D_D[CAT],SMS, D_D[EP],-1,D_D[LOC],$A17)/$D17,0))</f>
        <v>0.4807162534435262</v>
      </c>
      <c r="J17" s="160">
        <f ca="1">IF(ISNA($A17),"",IFERROR(SUMIFS(D_D[DEC],D_D[MT],5,D_D[CAT],SMS, D_D[EP],-1,D_D[LOC],$A17)/$D17,0))</f>
        <v>0.18457300275482094</v>
      </c>
      <c r="K17" s="160">
        <f ca="1">IF(ISNA($A17),"",IFERROR(SUMIFS(D_D[AWD],D_D[MT],5,D_D[CAT],SMS, D_D[EP],-1,D_D[LOC],$A17)/$D17,0))</f>
        <v>0.17355371900826447</v>
      </c>
      <c r="L17" s="160">
        <f ca="1">IF(ISNA($A17),"",IFERROR(SUMIFS(D_D[AUT],D_D[MT],5,D_D[CAT],SMS, D_D[EP],-1,D_D[LOC],$A17)/$D17,0))</f>
        <v>1.2396694214876033E-2</v>
      </c>
      <c r="M17" s="6"/>
    </row>
    <row r="18" spans="1:13" ht="12.75" x14ac:dyDescent="0.2">
      <c r="A18" s="120" t="str">
        <f t="shared" ca="1" si="1"/>
        <v>328</v>
      </c>
      <c r="B18" s="23">
        <v>5</v>
      </c>
      <c r="C18" s="150" t="str">
        <f t="shared" ca="1" si="4"/>
        <v>Chicago</v>
      </c>
      <c r="D18" s="159">
        <f ca="1">IF(ISNA($A18),"",IFERROR(SUMIFS(D_D[INV],D_D[MT],5,D_D[CAT],SMS, D_D[EP],-1,D_D[LOC],$A18),0))</f>
        <v>1062</v>
      </c>
      <c r="E18" s="159">
        <f ca="1">IF(ISNA($A18),"",IFERROR(SUMIFS(D_D[BL],D_D[MT],5,D_D[CAT],SMS, D_D[EP],-1,D_D[LOC],$A18),0))</f>
        <v>116</v>
      </c>
      <c r="F18" s="160">
        <f t="shared" ca="1" si="5"/>
        <v>0.10922787193973635</v>
      </c>
      <c r="G18" s="161">
        <f ca="1">IF(ISNA($A18),"",IFERROR(SUMIFS(D_D[ADP],D_D[MT],5,D_D[CAT],SMS, D_D[EP],-1,D_D[LOC],$A18),0))</f>
        <v>83.14</v>
      </c>
      <c r="H18" s="160">
        <f ca="1">IF(ISNA($A18),"",IFERROR(SUMIFS(D_D[DEV],D_D[MT],5,D_D[CAT],SMS, D_D[EP],-1,D_D[LOC],$A18)/$D18,0))</f>
        <v>0.1967984934086629</v>
      </c>
      <c r="I18" s="160">
        <f ca="1">IF(ISNA($A18),"",IFERROR(SUMIFS(D_D[EVD],D_D[MT],5,D_D[CAT],SMS, D_D[EP],-1,D_D[LOC],$A18)/$D18,0))</f>
        <v>0.55838041431261776</v>
      </c>
      <c r="J18" s="160">
        <f ca="1">IF(ISNA($A18),"",IFERROR(SUMIFS(D_D[DEC],D_D[MT],5,D_D[CAT],SMS, D_D[EP],-1,D_D[LOC],$A18)/$D18,0))</f>
        <v>0.12994350282485875</v>
      </c>
      <c r="K18" s="160">
        <f ca="1">IF(ISNA($A18),"",IFERROR(SUMIFS(D_D[AWD],D_D[MT],5,D_D[CAT],SMS, D_D[EP],-1,D_D[LOC],$A18)/$D18,0))</f>
        <v>9.3220338983050849E-2</v>
      </c>
      <c r="L18" s="160">
        <f ca="1">IF(ISNA($A18),"",IFERROR(SUMIFS(D_D[AUT],D_D[MT],5,D_D[CAT],SMS, D_D[EP],-1,D_D[LOC],$A18)/$D18,0))</f>
        <v>2.1657250470809793E-2</v>
      </c>
      <c r="M18" s="6"/>
    </row>
    <row r="19" spans="1:13" ht="12.75" x14ac:dyDescent="0.2">
      <c r="A19" s="120" t="str">
        <f t="shared" ca="1" si="1"/>
        <v>325</v>
      </c>
      <c r="B19" s="23">
        <v>6</v>
      </c>
      <c r="C19" s="150" t="str">
        <f t="shared" ca="1" si="4"/>
        <v>Cleveland</v>
      </c>
      <c r="D19" s="159">
        <f ca="1">IF(ISNA($A19),"",IFERROR(SUMIFS(D_D[INV],D_D[MT],5,D_D[CAT],SMS, D_D[EP],-1,D_D[LOC],$A19),0))</f>
        <v>2780</v>
      </c>
      <c r="E19" s="159">
        <f ca="1">IF(ISNA($A19),"",IFERROR(SUMIFS(D_D[BL],D_D[MT],5,D_D[CAT],SMS, D_D[EP],-1,D_D[LOC],$A19),0))</f>
        <v>816</v>
      </c>
      <c r="F19" s="160">
        <f t="shared" ca="1" si="5"/>
        <v>0.29352517985611509</v>
      </c>
      <c r="G19" s="161">
        <f ca="1">IF(ISNA($A19),"",IFERROR(SUMIFS(D_D[ADP],D_D[MT],5,D_D[CAT],SMS, D_D[EP],-1,D_D[LOC],$A19),0))</f>
        <v>104.28</v>
      </c>
      <c r="H19" s="160">
        <f ca="1">IF(ISNA($A19),"",IFERROR(SUMIFS(D_D[DEV],D_D[MT],5,D_D[CAT],SMS, D_D[EP],-1,D_D[LOC],$A19)/$D19,0))</f>
        <v>0.18129496402877698</v>
      </c>
      <c r="I19" s="160">
        <f ca="1">IF(ISNA($A19),"",IFERROR(SUMIFS(D_D[EVD],D_D[MT],5,D_D[CAT],SMS, D_D[EP],-1,D_D[LOC],$A19)/$D19,0))</f>
        <v>0.50215827338129493</v>
      </c>
      <c r="J19" s="160">
        <f ca="1">IF(ISNA($A19),"",IFERROR(SUMIFS(D_D[DEC],D_D[MT],5,D_D[CAT],SMS, D_D[EP],-1,D_D[LOC],$A19)/$D19,0))</f>
        <v>0.10575539568345324</v>
      </c>
      <c r="K19" s="160">
        <f ca="1">IF(ISNA($A19),"",IFERROR(SUMIFS(D_D[AWD],D_D[MT],5,D_D[CAT],SMS, D_D[EP],-1,D_D[LOC],$A19)/$D19,0))</f>
        <v>0.16906474820143885</v>
      </c>
      <c r="L19" s="160">
        <f ca="1">IF(ISNA($A19),"",IFERROR(SUMIFS(D_D[AUT],D_D[MT],5,D_D[CAT],SMS, D_D[EP],-1,D_D[LOC],$A19)/$D19,0))</f>
        <v>4.1726618705035974E-2</v>
      </c>
      <c r="M19" s="6"/>
    </row>
    <row r="20" spans="1:13" ht="12.75" x14ac:dyDescent="0.2">
      <c r="A20" s="120" t="str">
        <f t="shared" ca="1" si="1"/>
        <v>329</v>
      </c>
      <c r="B20" s="23">
        <v>7</v>
      </c>
      <c r="C20" s="150" t="str">
        <f t="shared" ca="1" si="4"/>
        <v>Detroit</v>
      </c>
      <c r="D20" s="159">
        <f ca="1">IF(ISNA($A20),"",IFERROR(SUMIFS(D_D[INV],D_D[MT],5,D_D[CAT],SMS, D_D[EP],-1,D_D[LOC],$A20),0))</f>
        <v>1470</v>
      </c>
      <c r="E20" s="159">
        <f ca="1">IF(ISNA($A20),"",IFERROR(SUMIFS(D_D[BL],D_D[MT],5,D_D[CAT],SMS, D_D[EP],-1,D_D[LOC],$A20),0))</f>
        <v>384</v>
      </c>
      <c r="F20" s="160">
        <f t="shared" ca="1" si="5"/>
        <v>0.26122448979591839</v>
      </c>
      <c r="G20" s="161">
        <f ca="1">IF(ISNA($A20),"",IFERROR(SUMIFS(D_D[ADP],D_D[MT],5,D_D[CAT],SMS, D_D[EP],-1,D_D[LOC],$A20),0))</f>
        <v>106.65</v>
      </c>
      <c r="H20" s="160">
        <f ca="1">IF(ISNA($A20),"",IFERROR(SUMIFS(D_D[DEV],D_D[MT],5,D_D[CAT],SMS, D_D[EP],-1,D_D[LOC],$A20)/$D20,0))</f>
        <v>0.14693877551020409</v>
      </c>
      <c r="I20" s="160">
        <f ca="1">IF(ISNA($A20),"",IFERROR(SUMIFS(D_D[EVD],D_D[MT],5,D_D[CAT],SMS, D_D[EP],-1,D_D[LOC],$A20)/$D20,0))</f>
        <v>0.52857142857142858</v>
      </c>
      <c r="J20" s="160">
        <f ca="1">IF(ISNA($A20),"",IFERROR(SUMIFS(D_D[DEC],D_D[MT],5,D_D[CAT],SMS, D_D[EP],-1,D_D[LOC],$A20)/$D20,0))</f>
        <v>0.19931972789115646</v>
      </c>
      <c r="K20" s="160">
        <f ca="1">IF(ISNA($A20),"",IFERROR(SUMIFS(D_D[AWD],D_D[MT],5,D_D[CAT],SMS, D_D[EP],-1,D_D[LOC],$A20)/$D20,0))</f>
        <v>0.11904761904761904</v>
      </c>
      <c r="L20" s="160">
        <f ca="1">IF(ISNA($A20),"",IFERROR(SUMIFS(D_D[AUT],D_D[MT],5,D_D[CAT],SMS, D_D[EP],-1,D_D[LOC],$A20)/$D20,0))</f>
        <v>6.1224489795918364E-3</v>
      </c>
      <c r="M20" s="6"/>
    </row>
    <row r="21" spans="1:13" ht="12.75" x14ac:dyDescent="0.2">
      <c r="A21" s="120" t="str">
        <f t="shared" ca="1" si="1"/>
        <v>308</v>
      </c>
      <c r="B21" s="23">
        <v>8</v>
      </c>
      <c r="C21" s="150" t="str">
        <f t="shared" ca="1" si="4"/>
        <v>Hartford</v>
      </c>
      <c r="D21" s="159">
        <f ca="1">IF(ISNA($A21),"",IFERROR(SUMIFS(D_D[INV],D_D[MT],5,D_D[CAT],SMS, D_D[EP],-1,D_D[LOC],$A21),0))</f>
        <v>806</v>
      </c>
      <c r="E21" s="159">
        <f ca="1">IF(ISNA($A21),"",IFERROR(SUMIFS(D_D[BL],D_D[MT],5,D_D[CAT],SMS, D_D[EP],-1,D_D[LOC],$A21),0))</f>
        <v>23</v>
      </c>
      <c r="F21" s="160">
        <f t="shared" ca="1" si="5"/>
        <v>2.8535980148883373E-2</v>
      </c>
      <c r="G21" s="161">
        <f ca="1">IF(ISNA($A21),"",IFERROR(SUMIFS(D_D[ADP],D_D[MT],5,D_D[CAT],SMS, D_D[EP],-1,D_D[LOC],$A21),0))</f>
        <v>67.75</v>
      </c>
      <c r="H21" s="160">
        <f ca="1">IF(ISNA($A21),"",IFERROR(SUMIFS(D_D[DEV],D_D[MT],5,D_D[CAT],SMS, D_D[EP],-1,D_D[LOC],$A21)/$D21,0))</f>
        <v>0.13523573200992556</v>
      </c>
      <c r="I21" s="160">
        <f ca="1">IF(ISNA($A21),"",IFERROR(SUMIFS(D_D[EVD],D_D[MT],5,D_D[CAT],SMS, D_D[EP],-1,D_D[LOC],$A21)/$D21,0))</f>
        <v>0.62158808933002485</v>
      </c>
      <c r="J21" s="160">
        <f ca="1">IF(ISNA($A21),"",IFERROR(SUMIFS(D_D[DEC],D_D[MT],5,D_D[CAT],SMS, D_D[EP],-1,D_D[LOC],$A21)/$D21,0))</f>
        <v>5.8312655086848637E-2</v>
      </c>
      <c r="K21" s="160">
        <f ca="1">IF(ISNA($A21),"",IFERROR(SUMIFS(D_D[AWD],D_D[MT],5,D_D[CAT],SMS, D_D[EP],-1,D_D[LOC],$A21)/$D21,0))</f>
        <v>0.16377171215880892</v>
      </c>
      <c r="L21" s="160">
        <f ca="1">IF(ISNA($A21),"",IFERROR(SUMIFS(D_D[AUT],D_D[MT],5,D_D[CAT],SMS, D_D[EP],-1,D_D[LOC],$A21)/$D21,0))</f>
        <v>2.1091811414392061E-2</v>
      </c>
      <c r="M21" s="6"/>
    </row>
    <row r="22" spans="1:13" ht="12.75" x14ac:dyDescent="0.2">
      <c r="A22" s="120" t="str">
        <f t="shared" ca="1" si="1"/>
        <v>326</v>
      </c>
      <c r="B22" s="23">
        <v>9</v>
      </c>
      <c r="C22" s="150" t="str">
        <f t="shared" ca="1" si="4"/>
        <v>Indianapolis</v>
      </c>
      <c r="D22" s="159">
        <f ca="1">IF(ISNA($A22),"",IFERROR(SUMIFS(D_D[INV],D_D[MT],5,D_D[CAT],SMS, D_D[EP],-1,D_D[LOC],$A22),0))</f>
        <v>1291</v>
      </c>
      <c r="E22" s="159">
        <f ca="1">IF(ISNA($A22),"",IFERROR(SUMIFS(D_D[BL],D_D[MT],5,D_D[CAT],SMS, D_D[EP],-1,D_D[LOC],$A22),0))</f>
        <v>343</v>
      </c>
      <c r="F22" s="160">
        <f t="shared" ca="1" si="5"/>
        <v>0.26568551510457011</v>
      </c>
      <c r="G22" s="161">
        <f ca="1">IF(ISNA($A22),"",IFERROR(SUMIFS(D_D[ADP],D_D[MT],5,D_D[CAT],SMS, D_D[EP],-1,D_D[LOC],$A22),0))</f>
        <v>98.75</v>
      </c>
      <c r="H22" s="160">
        <f ca="1">IF(ISNA($A22),"",IFERROR(SUMIFS(D_D[DEV],D_D[MT],5,D_D[CAT],SMS, D_D[EP],-1,D_D[LOC],$A22)/$D22,0))</f>
        <v>0.19364833462432224</v>
      </c>
      <c r="I22" s="160">
        <f ca="1">IF(ISNA($A22),"",IFERROR(SUMIFS(D_D[EVD],D_D[MT],5,D_D[CAT],SMS, D_D[EP],-1,D_D[LOC],$A22)/$D22,0))</f>
        <v>0.63516653756777697</v>
      </c>
      <c r="J22" s="160">
        <f ca="1">IF(ISNA($A22),"",IFERROR(SUMIFS(D_D[DEC],D_D[MT],5,D_D[CAT],SMS, D_D[EP],-1,D_D[LOC],$A22)/$D22,0))</f>
        <v>0.10147172734314484</v>
      </c>
      <c r="K22" s="160">
        <f ca="1">IF(ISNA($A22),"",IFERROR(SUMIFS(D_D[AWD],D_D[MT],5,D_D[CAT],SMS, D_D[EP],-1,D_D[LOC],$A22)/$D22,0))</f>
        <v>6.5065840433772268E-2</v>
      </c>
      <c r="L22" s="160">
        <f ca="1">IF(ISNA($A22),"",IFERROR(SUMIFS(D_D[AUT],D_D[MT],5,D_D[CAT],SMS, D_D[EP],-1,D_D[LOC],$A22)/$D22,0))</f>
        <v>3.0983733539891559E-3</v>
      </c>
      <c r="M22" s="6"/>
    </row>
    <row r="23" spans="1:13" ht="12.75" x14ac:dyDescent="0.2">
      <c r="A23" s="120" t="str">
        <f t="shared" ca="1" si="1"/>
        <v>373</v>
      </c>
      <c r="B23" s="23">
        <v>10</v>
      </c>
      <c r="C23" s="150" t="str">
        <f t="shared" ca="1" si="4"/>
        <v>Manchester</v>
      </c>
      <c r="D23" s="159">
        <f ca="1">IF(ISNA($A23),"",IFERROR(SUMIFS(D_D[INV],D_D[MT],5,D_D[CAT],SMS, D_D[EP],-1,D_D[LOC],$A23),0))</f>
        <v>390</v>
      </c>
      <c r="E23" s="159">
        <f ca="1">IF(ISNA($A23),"",IFERROR(SUMIFS(D_D[BL],D_D[MT],5,D_D[CAT],SMS, D_D[EP],-1,D_D[LOC],$A23),0))</f>
        <v>9</v>
      </c>
      <c r="F23" s="160">
        <f t="shared" ca="1" si="5"/>
        <v>2.3076923076923078E-2</v>
      </c>
      <c r="G23" s="161">
        <f ca="1">IF(ISNA($A23),"",IFERROR(SUMIFS(D_D[ADP],D_D[MT],5,D_D[CAT],SMS, D_D[EP],-1,D_D[LOC],$A23),0))</f>
        <v>77.45</v>
      </c>
      <c r="H23" s="160">
        <f ca="1">IF(ISNA($A23),"",IFERROR(SUMIFS(D_D[DEV],D_D[MT],5,D_D[CAT],SMS, D_D[EP],-1,D_D[LOC],$A23)/$D23,0))</f>
        <v>0.11538461538461539</v>
      </c>
      <c r="I23" s="160">
        <f ca="1">IF(ISNA($A23),"",IFERROR(SUMIFS(D_D[EVD],D_D[MT],5,D_D[CAT],SMS, D_D[EP],-1,D_D[LOC],$A23)/$D23,0))</f>
        <v>0.58205128205128209</v>
      </c>
      <c r="J23" s="160">
        <f ca="1">IF(ISNA($A23),"",IFERROR(SUMIFS(D_D[DEC],D_D[MT],5,D_D[CAT],SMS, D_D[EP],-1,D_D[LOC],$A23)/$D23,0))</f>
        <v>0.19487179487179487</v>
      </c>
      <c r="K23" s="160">
        <f ca="1">IF(ISNA($A23),"",IFERROR(SUMIFS(D_D[AWD],D_D[MT],5,D_D[CAT],SMS, D_D[EP],-1,D_D[LOC],$A23)/$D23,0))</f>
        <v>0.1</v>
      </c>
      <c r="L23" s="160">
        <f ca="1">IF(ISNA($A23),"",IFERROR(SUMIFS(D_D[AUT],D_D[MT],5,D_D[CAT],SMS, D_D[EP],-1,D_D[LOC],$A23)/$D23,0))</f>
        <v>7.6923076923076927E-3</v>
      </c>
      <c r="M23" s="6"/>
    </row>
    <row r="24" spans="1:13" ht="12.75" x14ac:dyDescent="0.2">
      <c r="A24" s="120" t="str">
        <f t="shared" ca="1" si="1"/>
        <v>330</v>
      </c>
      <c r="B24" s="23">
        <v>11</v>
      </c>
      <c r="C24" s="150" t="str">
        <f t="shared" ca="1" si="4"/>
        <v>Milwaukee</v>
      </c>
      <c r="D24" s="159">
        <f ca="1">IF(ISNA($A24),"",IFERROR(SUMIFS(D_D[INV],D_D[MT],5,D_D[CAT],SMS, D_D[EP],-1,D_D[LOC],$A24),0))</f>
        <v>3695</v>
      </c>
      <c r="E24" s="159">
        <f ca="1">IF(ISNA($A24),"",IFERROR(SUMIFS(D_D[BL],D_D[MT],5,D_D[CAT],SMS, D_D[EP],-1,D_D[LOC],$A24),0))</f>
        <v>1455</v>
      </c>
      <c r="F24" s="160">
        <f t="shared" ca="1" si="5"/>
        <v>0.39377537212449254</v>
      </c>
      <c r="G24" s="161">
        <f ca="1">IF(ISNA($A24),"",IFERROR(SUMIFS(D_D[ADP],D_D[MT],5,D_D[CAT],SMS, D_D[EP],-1,D_D[LOC],$A24),0))</f>
        <v>116.91</v>
      </c>
      <c r="H24" s="160">
        <f ca="1">IF(ISNA($A24),"",IFERROR(SUMIFS(D_D[DEV],D_D[MT],5,D_D[CAT],SMS, D_D[EP],-1,D_D[LOC],$A24)/$D24,0))</f>
        <v>0.28335588633288228</v>
      </c>
      <c r="I24" s="160">
        <f ca="1">IF(ISNA($A24),"",IFERROR(SUMIFS(D_D[EVD],D_D[MT],5,D_D[CAT],SMS, D_D[EP],-1,D_D[LOC],$A24)/$D24,0))</f>
        <v>0.41542625169147496</v>
      </c>
      <c r="J24" s="160">
        <f ca="1">IF(ISNA($A24),"",IFERROR(SUMIFS(D_D[DEC],D_D[MT],5,D_D[CAT],SMS, D_D[EP],-1,D_D[LOC],$A24)/$D24,0))</f>
        <v>5.2503382949932342E-2</v>
      </c>
      <c r="K24" s="160">
        <f ca="1">IF(ISNA($A24),"",IFERROR(SUMIFS(D_D[AWD],D_D[MT],5,D_D[CAT],SMS, D_D[EP],-1,D_D[LOC],$A24)/$D24,0))</f>
        <v>0.22516914749661704</v>
      </c>
      <c r="L24" s="160">
        <f ca="1">IF(ISNA($A24),"",IFERROR(SUMIFS(D_D[AUT],D_D[MT],5,D_D[CAT],SMS, D_D[EP],-1,D_D[LOC],$A24)/$D24,0))</f>
        <v>2.3545331529093369E-2</v>
      </c>
      <c r="M24" s="6"/>
    </row>
    <row r="25" spans="1:13" ht="12.75" x14ac:dyDescent="0.2">
      <c r="A25" s="120" t="str">
        <f t="shared" ca="1" si="1"/>
        <v>306</v>
      </c>
      <c r="B25" s="23">
        <v>12</v>
      </c>
      <c r="C25" s="150" t="str">
        <f t="shared" ca="1" si="4"/>
        <v>New York</v>
      </c>
      <c r="D25" s="159">
        <f ca="1">IF(ISNA($A25),"",IFERROR(SUMIFS(D_D[INV],D_D[MT],5,D_D[CAT],SMS, D_D[EP],-1,D_D[LOC],$A25),0))</f>
        <v>917</v>
      </c>
      <c r="E25" s="159">
        <f ca="1">IF(ISNA($A25),"",IFERROR(SUMIFS(D_D[BL],D_D[MT],5,D_D[CAT],SMS, D_D[EP],-1,D_D[LOC],$A25),0))</f>
        <v>246</v>
      </c>
      <c r="F25" s="160">
        <f t="shared" ca="1" si="5"/>
        <v>0.26826608505997818</v>
      </c>
      <c r="G25" s="161">
        <f ca="1">IF(ISNA($A25),"",IFERROR(SUMIFS(D_D[ADP],D_D[MT],5,D_D[CAT],SMS, D_D[EP],-1,D_D[LOC],$A25),0))</f>
        <v>111.44</v>
      </c>
      <c r="H25" s="160">
        <f ca="1">IF(ISNA($A25),"",IFERROR(SUMIFS(D_D[DEV],D_D[MT],5,D_D[CAT],SMS, D_D[EP],-1,D_D[LOC],$A25)/$D25,0))</f>
        <v>0.13413304252998909</v>
      </c>
      <c r="I25" s="160">
        <f ca="1">IF(ISNA($A25),"",IFERROR(SUMIFS(D_D[EVD],D_D[MT],5,D_D[CAT],SMS, D_D[EP],-1,D_D[LOC],$A25)/$D25,0))</f>
        <v>0.54852780806979284</v>
      </c>
      <c r="J25" s="160">
        <f ca="1">IF(ISNA($A25),"",IFERROR(SUMIFS(D_D[DEC],D_D[MT],5,D_D[CAT],SMS, D_D[EP],-1,D_D[LOC],$A25)/$D25,0))</f>
        <v>0.15921483097055616</v>
      </c>
      <c r="K25" s="160">
        <f ca="1">IF(ISNA($A25),"",IFERROR(SUMIFS(D_D[AWD],D_D[MT],5,D_D[CAT],SMS, D_D[EP],-1,D_D[LOC],$A25)/$D25,0))</f>
        <v>0.13522355507088332</v>
      </c>
      <c r="L25" s="160">
        <f ca="1">IF(ISNA($A25),"",IFERROR(SUMIFS(D_D[AUT],D_D[MT],5,D_D[CAT],SMS, D_D[EP],-1,D_D[LOC],$A25)/$D25,0))</f>
        <v>2.2900763358778626E-2</v>
      </c>
      <c r="M25" s="6"/>
    </row>
    <row r="26" spans="1:13" ht="12.75" x14ac:dyDescent="0.2">
      <c r="A26" s="120" t="str">
        <f t="shared" ca="1" si="1"/>
        <v>309</v>
      </c>
      <c r="B26" s="23">
        <v>13</v>
      </c>
      <c r="C26" s="150" t="str">
        <f t="shared" ca="1" si="4"/>
        <v>Newark</v>
      </c>
      <c r="D26" s="159">
        <f ca="1">IF(ISNA($A26),"",IFERROR(SUMIFS(D_D[INV],D_D[MT],5,D_D[CAT],SMS, D_D[EP],-1,D_D[LOC],$A26),0))</f>
        <v>329</v>
      </c>
      <c r="E26" s="159">
        <f ca="1">IF(ISNA($A26),"",IFERROR(SUMIFS(D_D[BL],D_D[MT],5,D_D[CAT],SMS, D_D[EP],-1,D_D[LOC],$A26),0))</f>
        <v>14</v>
      </c>
      <c r="F26" s="160">
        <f t="shared" ca="1" si="5"/>
        <v>4.2553191489361701E-2</v>
      </c>
      <c r="G26" s="161">
        <f ca="1">IF(ISNA($A26),"",IFERROR(SUMIFS(D_D[ADP],D_D[MT],5,D_D[CAT],SMS, D_D[EP],-1,D_D[LOC],$A26),0))</f>
        <v>69.739999999999995</v>
      </c>
      <c r="H26" s="160">
        <f ca="1">IF(ISNA($A26),"",IFERROR(SUMIFS(D_D[DEV],D_D[MT],5,D_D[CAT],SMS, D_D[EP],-1,D_D[LOC],$A26)/$D26,0))</f>
        <v>0.12158054711246201</v>
      </c>
      <c r="I26" s="160">
        <f ca="1">IF(ISNA($A26),"",IFERROR(SUMIFS(D_D[EVD],D_D[MT],5,D_D[CAT],SMS, D_D[EP],-1,D_D[LOC],$A26)/$D26,0))</f>
        <v>0.66565349544072949</v>
      </c>
      <c r="J26" s="160">
        <f ca="1">IF(ISNA($A26),"",IFERROR(SUMIFS(D_D[DEC],D_D[MT],5,D_D[CAT],SMS, D_D[EP],-1,D_D[LOC],$A26)/$D26,0))</f>
        <v>0.10030395136778116</v>
      </c>
      <c r="K26" s="160">
        <f ca="1">IF(ISNA($A26),"",IFERROR(SUMIFS(D_D[AWD],D_D[MT],5,D_D[CAT],SMS, D_D[EP],-1,D_D[LOC],$A26)/$D26,0))</f>
        <v>7.598784194528875E-2</v>
      </c>
      <c r="L26" s="160">
        <f ca="1">IF(ISNA($A26),"",IFERROR(SUMIFS(D_D[AUT],D_D[MT],5,D_D[CAT],SMS, D_D[EP],-1,D_D[LOC],$A26)/$D26,0))</f>
        <v>3.64741641337386E-2</v>
      </c>
      <c r="M26" s="6"/>
    </row>
    <row r="27" spans="1:13" ht="12.75" x14ac:dyDescent="0.2">
      <c r="A27" s="120" t="str">
        <f t="shared" ca="1" si="1"/>
        <v>310</v>
      </c>
      <c r="B27" s="23">
        <v>14</v>
      </c>
      <c r="C27" s="150" t="str">
        <f t="shared" ca="1" si="4"/>
        <v>Philadelphia</v>
      </c>
      <c r="D27" s="159">
        <f ca="1">IF(ISNA($A27),"",IFERROR(SUMIFS(D_D[INV],D_D[MT],5,D_D[CAT],SMS, D_D[EP],-1,D_D[LOC],$A27),0))</f>
        <v>5078</v>
      </c>
      <c r="E27" s="159">
        <f ca="1">IF(ISNA($A27),"",IFERROR(SUMIFS(D_D[BL],D_D[MT],5,D_D[CAT],SMS, D_D[EP],-1,D_D[LOC],$A27),0))</f>
        <v>1752</v>
      </c>
      <c r="F27" s="160">
        <f t="shared" ca="1" si="5"/>
        <v>0.34501772351319415</v>
      </c>
      <c r="G27" s="161">
        <f ca="1">IF(ISNA($A27),"",IFERROR(SUMIFS(D_D[ADP],D_D[MT],5,D_D[CAT],SMS, D_D[EP],-1,D_D[LOC],$A27),0))</f>
        <v>111.51</v>
      </c>
      <c r="H27" s="160">
        <f ca="1">IF(ISNA($A27),"",IFERROR(SUMIFS(D_D[DEV],D_D[MT],5,D_D[CAT],SMS, D_D[EP],-1,D_D[LOC],$A27)/$D27,0))</f>
        <v>0.20874359984245766</v>
      </c>
      <c r="I27" s="160">
        <f ca="1">IF(ISNA($A27),"",IFERROR(SUMIFS(D_D[EVD],D_D[MT],5,D_D[CAT],SMS, D_D[EP],-1,D_D[LOC],$A27)/$D27,0))</f>
        <v>0.38597873178416697</v>
      </c>
      <c r="J27" s="160">
        <f ca="1">IF(ISNA($A27),"",IFERROR(SUMIFS(D_D[DEC],D_D[MT],5,D_D[CAT],SMS, D_D[EP],-1,D_D[LOC],$A27)/$D27,0))</f>
        <v>8.1331232768806619E-2</v>
      </c>
      <c r="K27" s="160">
        <f ca="1">IF(ISNA($A27),"",IFERROR(SUMIFS(D_D[AWD],D_D[MT],5,D_D[CAT],SMS, D_D[EP],-1,D_D[LOC],$A27)/$D27,0))</f>
        <v>0.27550216620716816</v>
      </c>
      <c r="L27" s="160">
        <f ca="1">IF(ISNA($A27),"",IFERROR(SUMIFS(D_D[AUT],D_D[MT],5,D_D[CAT],SMS, D_D[EP],-1,D_D[LOC],$A27)/$D27,0))</f>
        <v>4.8444269397400548E-2</v>
      </c>
      <c r="M27" s="6"/>
    </row>
    <row r="28" spans="1:13" ht="12.75" x14ac:dyDescent="0.2">
      <c r="A28" s="120" t="str">
        <f t="shared" ca="1" si="1"/>
        <v>311</v>
      </c>
      <c r="B28" s="23">
        <v>15</v>
      </c>
      <c r="C28" s="150" t="str">
        <f t="shared" ca="1" si="4"/>
        <v>Pittsburgh</v>
      </c>
      <c r="D28" s="159">
        <f ca="1">IF(ISNA($A28),"",IFERROR(SUMIFS(D_D[INV],D_D[MT],5,D_D[CAT],SMS, D_D[EP],-1,D_D[LOC],$A28),0))</f>
        <v>653</v>
      </c>
      <c r="E28" s="159">
        <f ca="1">IF(ISNA($A28),"",IFERROR(SUMIFS(D_D[BL],D_D[MT],5,D_D[CAT],SMS, D_D[EP],-1,D_D[LOC],$A28),0))</f>
        <v>141</v>
      </c>
      <c r="F28" s="160">
        <f t="shared" ca="1" si="5"/>
        <v>0.21592649310872894</v>
      </c>
      <c r="G28" s="161">
        <f ca="1">IF(ISNA($A28),"",IFERROR(SUMIFS(D_D[ADP],D_D[MT],5,D_D[CAT],SMS, D_D[EP],-1,D_D[LOC],$A28),0))</f>
        <v>121.7</v>
      </c>
      <c r="H28" s="160">
        <f ca="1">IF(ISNA($A28),"",IFERROR(SUMIFS(D_D[DEV],D_D[MT],5,D_D[CAT],SMS, D_D[EP],-1,D_D[LOC],$A28)/$D28,0))</f>
        <v>0.14701378254211334</v>
      </c>
      <c r="I28" s="160">
        <f ca="1">IF(ISNA($A28),"",IFERROR(SUMIFS(D_D[EVD],D_D[MT],5,D_D[CAT],SMS, D_D[EP],-1,D_D[LOC],$A28)/$D28,0))</f>
        <v>0.46554364471669218</v>
      </c>
      <c r="J28" s="160">
        <f ca="1">IF(ISNA($A28),"",IFERROR(SUMIFS(D_D[DEC],D_D[MT],5,D_D[CAT],SMS, D_D[EP],-1,D_D[LOC],$A28)/$D28,0))</f>
        <v>0.20826952526799389</v>
      </c>
      <c r="K28" s="160">
        <f ca="1">IF(ISNA($A28),"",IFERROR(SUMIFS(D_D[AWD],D_D[MT],5,D_D[CAT],SMS, D_D[EP],-1,D_D[LOC],$A28)/$D28,0))</f>
        <v>0.16998468606431852</v>
      </c>
      <c r="L28" s="160">
        <f ca="1">IF(ISNA($A28),"",IFERROR(SUMIFS(D_D[AUT],D_D[MT],5,D_D[CAT],SMS, D_D[EP],-1,D_D[LOC],$A28)/$D28,0))</f>
        <v>9.1883614088820835E-3</v>
      </c>
      <c r="M28" s="6"/>
    </row>
    <row r="29" spans="1:13" ht="12.75" x14ac:dyDescent="0.2">
      <c r="A29" s="120" t="str">
        <f t="shared" ca="1" si="1"/>
        <v>304</v>
      </c>
      <c r="B29" s="23">
        <v>16</v>
      </c>
      <c r="C29" s="150" t="str">
        <f t="shared" ca="1" si="4"/>
        <v>Providence</v>
      </c>
      <c r="D29" s="159">
        <f ca="1">IF(ISNA($A29),"",IFERROR(SUMIFS(D_D[INV],D_D[MT],5,D_D[CAT],SMS, D_D[EP],-1,D_D[LOC],$A29),0))</f>
        <v>1713</v>
      </c>
      <c r="E29" s="159">
        <f ca="1">IF(ISNA($A29),"",IFERROR(SUMIFS(D_D[BL],D_D[MT],5,D_D[CAT],SMS, D_D[EP],-1,D_D[LOC],$A29),0))</f>
        <v>512</v>
      </c>
      <c r="F29" s="160">
        <f t="shared" ca="1" si="5"/>
        <v>0.29889083479276124</v>
      </c>
      <c r="G29" s="161">
        <f ca="1">IF(ISNA($A29),"",IFERROR(SUMIFS(D_D[ADP],D_D[MT],5,D_D[CAT],SMS, D_D[EP],-1,D_D[LOC],$A29),0))</f>
        <v>104.93</v>
      </c>
      <c r="H29" s="160">
        <f ca="1">IF(ISNA($A29),"",IFERROR(SUMIFS(D_D[DEV],D_D[MT],5,D_D[CAT],SMS, D_D[EP],-1,D_D[LOC],$A29)/$D29,0))</f>
        <v>0.10274372446001168</v>
      </c>
      <c r="I29" s="160">
        <f ca="1">IF(ISNA($A29),"",IFERROR(SUMIFS(D_D[EVD],D_D[MT],5,D_D[CAT],SMS, D_D[EP],-1,D_D[LOC],$A29)/$D29,0))</f>
        <v>0.48686514886164622</v>
      </c>
      <c r="J29" s="160">
        <f ca="1">IF(ISNA($A29),"",IFERROR(SUMIFS(D_D[DEC],D_D[MT],5,D_D[CAT],SMS, D_D[EP],-1,D_D[LOC],$A29)/$D29,0))</f>
        <v>0.21190893169877409</v>
      </c>
      <c r="K29" s="160">
        <f ca="1">IF(ISNA($A29),"",IFERROR(SUMIFS(D_D[AWD],D_D[MT],5,D_D[CAT],SMS, D_D[EP],-1,D_D[LOC],$A29)/$D29,0))</f>
        <v>0.1044950379451255</v>
      </c>
      <c r="L29" s="160">
        <f ca="1">IF(ISNA($A29),"",IFERROR(SUMIFS(D_D[AUT],D_D[MT],5,D_D[CAT],SMS, D_D[EP],-1,D_D[LOC],$A29)/$D29,0))</f>
        <v>9.3987157034442492E-2</v>
      </c>
      <c r="M29" s="6"/>
    </row>
    <row r="30" spans="1:13" ht="12.75" x14ac:dyDescent="0.2">
      <c r="A30" s="120" t="str">
        <f t="shared" ca="1" si="1"/>
        <v>376</v>
      </c>
      <c r="B30" s="23">
        <v>17</v>
      </c>
      <c r="C30" s="150" t="str">
        <f t="shared" ca="1" si="4"/>
        <v>St. Louis RMC</v>
      </c>
      <c r="D30" s="159">
        <f ca="1">IF(ISNA($A30),"",IFERROR(SUMIFS(D_D[INV],D_D[MT],5,D_D[CAT],SMS, D_D[EP],-1,D_D[LOC],$A30),0))</f>
        <v>0</v>
      </c>
      <c r="E30" s="159">
        <f ca="1">IF(ISNA($A30),"",IFERROR(SUMIFS(D_D[BL],D_D[MT],5,D_D[CAT],SMS, D_D[EP],-1,D_D[LOC],$A30),0))</f>
        <v>0</v>
      </c>
      <c r="F30" s="160">
        <f t="shared" ca="1" si="5"/>
        <v>0</v>
      </c>
      <c r="G30" s="161">
        <f ca="1">IF(ISNA($A30),"",IFERROR(SUMIFS(D_D[ADP],D_D[MT],5,D_D[CAT],SMS, D_D[EP],-1,D_D[LOC],$A30),0))</f>
        <v>0</v>
      </c>
      <c r="H30" s="160">
        <f ca="1">IF(ISNA($A30),"",IFERROR(SUMIFS(D_D[DEV],D_D[MT],5,D_D[CAT],SMS, D_D[EP],-1,D_D[LOC],$A30)/$D30,0))</f>
        <v>0</v>
      </c>
      <c r="I30" s="160">
        <f ca="1">IF(ISNA($A30),"",IFERROR(SUMIFS(D_D[EVD],D_D[MT],5,D_D[CAT],SMS, D_D[EP],-1,D_D[LOC],$A30)/$D30,0))</f>
        <v>0</v>
      </c>
      <c r="J30" s="160">
        <f ca="1">IF(ISNA($A30),"",IFERROR(SUMIFS(D_D[DEC],D_D[MT],5,D_D[CAT],SMS, D_D[EP],-1,D_D[LOC],$A30)/$D30,0))</f>
        <v>0</v>
      </c>
      <c r="K30" s="160">
        <f ca="1">IF(ISNA($A30),"",IFERROR(SUMIFS(D_D[AWD],D_D[MT],5,D_D[CAT],SMS, D_D[EP],-1,D_D[LOC],$A30)/$D30,0))</f>
        <v>0</v>
      </c>
      <c r="L30" s="160">
        <f ca="1">IF(ISNA($A30),"",IFERROR(SUMIFS(D_D[AUT],D_D[MT],5,D_D[CAT],SMS, D_D[EP],-1,D_D[LOC],$A30)/$D30,0))</f>
        <v>0</v>
      </c>
      <c r="M30" s="6"/>
    </row>
    <row r="31" spans="1:13" ht="12.75" x14ac:dyDescent="0.2">
      <c r="A31" s="120" t="str">
        <f t="shared" ca="1" si="1"/>
        <v>331</v>
      </c>
      <c r="B31" s="23">
        <v>18</v>
      </c>
      <c r="C31" s="150" t="str">
        <f t="shared" ca="1" si="4"/>
        <v>St. Louis</v>
      </c>
      <c r="D31" s="159">
        <f ca="1">IF(ISNA($A31),"",IFERROR(SUMIFS(D_D[INV],D_D[MT],5,D_D[CAT],SMS, D_D[EP],-1,D_D[LOC],$A31),0))</f>
        <v>1747</v>
      </c>
      <c r="E31" s="159">
        <f ca="1">IF(ISNA($A31),"",IFERROR(SUMIFS(D_D[BL],D_D[MT],5,D_D[CAT],SMS, D_D[EP],-1,D_D[LOC],$A31),0))</f>
        <v>284</v>
      </c>
      <c r="F31" s="160">
        <f t="shared" ca="1" si="5"/>
        <v>0.16256439610761306</v>
      </c>
      <c r="G31" s="161">
        <f ca="1">IF(ISNA($A31),"",IFERROR(SUMIFS(D_D[ADP],D_D[MT],5,D_D[CAT],SMS, D_D[EP],-1,D_D[LOC],$A31),0))</f>
        <v>90.2</v>
      </c>
      <c r="H31" s="160">
        <f ca="1">IF(ISNA($A31),"",IFERROR(SUMIFS(D_D[DEV],D_D[MT],5,D_D[CAT],SMS, D_D[EP],-1,D_D[LOC],$A31)/$D31,0))</f>
        <v>0.12821980538065256</v>
      </c>
      <c r="I31" s="160">
        <f ca="1">IF(ISNA($A31),"",IFERROR(SUMIFS(D_D[EVD],D_D[MT],5,D_D[CAT],SMS, D_D[EP],-1,D_D[LOC],$A31)/$D31,0))</f>
        <v>0.54092730394962796</v>
      </c>
      <c r="J31" s="160">
        <f ca="1">IF(ISNA($A31),"",IFERROR(SUMIFS(D_D[DEC],D_D[MT],5,D_D[CAT],SMS, D_D[EP],-1,D_D[LOC],$A31)/$D31,0))</f>
        <v>0.12364052661705781</v>
      </c>
      <c r="K31" s="160">
        <f ca="1">IF(ISNA($A31),"",IFERROR(SUMIFS(D_D[AWD],D_D[MT],5,D_D[CAT],SMS, D_D[EP],-1,D_D[LOC],$A31)/$D31,0))</f>
        <v>0.15855752718946767</v>
      </c>
      <c r="L31" s="160">
        <f ca="1">IF(ISNA($A31),"",IFERROR(SUMIFS(D_D[AUT],D_D[MT],5,D_D[CAT],SMS, D_D[EP],-1,D_D[LOC],$A31)/$D31,0))</f>
        <v>4.8654836863194044E-2</v>
      </c>
      <c r="M31" s="6"/>
    </row>
    <row r="32" spans="1:13" ht="12.75" x14ac:dyDescent="0.2">
      <c r="A32" s="120" t="str">
        <f t="shared" ca="1" si="1"/>
        <v>402</v>
      </c>
      <c r="B32" s="23">
        <v>19</v>
      </c>
      <c r="C32" s="150" t="str">
        <f t="shared" ca="1" si="4"/>
        <v>Togus</v>
      </c>
      <c r="D32" s="159">
        <f ca="1">IF(ISNA($A32),"",IFERROR(SUMIFS(D_D[INV],D_D[MT],5,D_D[CAT],SMS, D_D[EP],-1,D_D[LOC],$A32),0))</f>
        <v>1397</v>
      </c>
      <c r="E32" s="159">
        <f ca="1">IF(ISNA($A32),"",IFERROR(SUMIFS(D_D[BL],D_D[MT],5,D_D[CAT],SMS, D_D[EP],-1,D_D[LOC],$A32),0))</f>
        <v>540</v>
      </c>
      <c r="F32" s="160">
        <f t="shared" ca="1" si="5"/>
        <v>0.38654259126700069</v>
      </c>
      <c r="G32" s="161">
        <f ca="1">IF(ISNA($A32),"",IFERROR(SUMIFS(D_D[ADP],D_D[MT],5,D_D[CAT],SMS, D_D[EP],-1,D_D[LOC],$A32),0))</f>
        <v>129.38999999999999</v>
      </c>
      <c r="H32" s="160">
        <f ca="1">IF(ISNA($A32),"",IFERROR(SUMIFS(D_D[DEV],D_D[MT],5,D_D[CAT],SMS, D_D[EP],-1,D_D[LOC],$A32)/$D32,0))</f>
        <v>0.11954187544738726</v>
      </c>
      <c r="I32" s="160">
        <f ca="1">IF(ISNA($A32),"",IFERROR(SUMIFS(D_D[EVD],D_D[MT],5,D_D[CAT],SMS, D_D[EP],-1,D_D[LOC],$A32)/$D32,0))</f>
        <v>0.63851109520400862</v>
      </c>
      <c r="J32" s="160">
        <f ca="1">IF(ISNA($A32),"",IFERROR(SUMIFS(D_D[DEC],D_D[MT],5,D_D[CAT],SMS, D_D[EP],-1,D_D[LOC],$A32)/$D32,0))</f>
        <v>0.10808876163206872</v>
      </c>
      <c r="K32" s="160">
        <f ca="1">IF(ISNA($A32),"",IFERROR(SUMIFS(D_D[AWD],D_D[MT],5,D_D[CAT],SMS, D_D[EP],-1,D_D[LOC],$A32)/$D32,0))</f>
        <v>7.3013600572655685E-2</v>
      </c>
      <c r="L32" s="160">
        <f ca="1">IF(ISNA($A32),"",IFERROR(SUMIFS(D_D[AUT],D_D[MT],5,D_D[CAT],SMS, D_D[EP],-1,D_D[LOC],$A32)/$D32,0))</f>
        <v>6.084466714387974E-2</v>
      </c>
      <c r="M32" s="6"/>
    </row>
    <row r="33" spans="1:13" ht="12.75" x14ac:dyDescent="0.2">
      <c r="A33" s="120" t="str">
        <f t="shared" ca="1" si="1"/>
        <v>372</v>
      </c>
      <c r="B33" s="23">
        <v>20</v>
      </c>
      <c r="C33" s="150" t="str">
        <f t="shared" ca="1" si="4"/>
        <v>Washington</v>
      </c>
      <c r="D33" s="159">
        <f ca="1">IF(ISNA($A33),"",IFERROR(SUMIFS(D_D[INV],D_D[MT],5,D_D[CAT],SMS, D_D[EP],-1,D_D[LOC],$A33),0))</f>
        <v>6</v>
      </c>
      <c r="E33" s="159">
        <f ca="1">IF(ISNA($A33),"",IFERROR(SUMIFS(D_D[BL],D_D[MT],5,D_D[CAT],SMS, D_D[EP],-1,D_D[LOC],$A33),0))</f>
        <v>1</v>
      </c>
      <c r="F33" s="160">
        <f t="shared" ca="1" si="5"/>
        <v>0.16666666666666666</v>
      </c>
      <c r="G33" s="161">
        <f ca="1">IF(ISNA($A33),"",IFERROR(SUMIFS(D_D[ADP],D_D[MT],5,D_D[CAT],SMS, D_D[EP],-1,D_D[LOC],$A33),0))</f>
        <v>91.17</v>
      </c>
      <c r="H33" s="160">
        <f ca="1">IF(ISNA($A33),"",IFERROR(SUMIFS(D_D[DEV],D_D[MT],5,D_D[CAT],SMS, D_D[EP],-1,D_D[LOC],$A33)/$D33,0))</f>
        <v>0</v>
      </c>
      <c r="I33" s="160">
        <f ca="1">IF(ISNA($A33),"",IFERROR(SUMIFS(D_D[EVD],D_D[MT],5,D_D[CAT],SMS, D_D[EP],-1,D_D[LOC],$A33)/$D33,0))</f>
        <v>0.33333333333333331</v>
      </c>
      <c r="J33" s="160">
        <f ca="1">IF(ISNA($A33),"",IFERROR(SUMIFS(D_D[DEC],D_D[MT],5,D_D[CAT],SMS, D_D[EP],-1,D_D[LOC],$A33)/$D33,0))</f>
        <v>0.5</v>
      </c>
      <c r="K33" s="160">
        <f ca="1">IF(ISNA($A33),"",IFERROR(SUMIFS(D_D[AWD],D_D[MT],5,D_D[CAT],SMS, D_D[EP],-1,D_D[LOC],$A33)/$D33,0))</f>
        <v>0.16666666666666666</v>
      </c>
      <c r="L33" s="160">
        <f ca="1">IF(ISNA($A33),"",IFERROR(SUMIFS(D_D[AUT],D_D[MT],5,D_D[CAT],SMS, D_D[EP],-1,D_D[LOC],$A33)/$D33,0))</f>
        <v>0</v>
      </c>
      <c r="M33" s="6"/>
    </row>
    <row r="34" spans="1:13" ht="12.75" x14ac:dyDescent="0.2">
      <c r="A34" s="120" t="str">
        <f t="shared" ca="1" si="1"/>
        <v>405</v>
      </c>
      <c r="B34" s="23">
        <v>21</v>
      </c>
      <c r="C34" s="150" t="str">
        <f t="shared" ca="1" si="4"/>
        <v>White River Junction</v>
      </c>
      <c r="D34" s="159">
        <f ca="1">IF(ISNA($A34),"",IFERROR(SUMIFS(D_D[INV],D_D[MT],5,D_D[CAT],SMS, D_D[EP],-1,D_D[LOC],$A34),0))</f>
        <v>272</v>
      </c>
      <c r="E34" s="159">
        <f ca="1">IF(ISNA($A34),"",IFERROR(SUMIFS(D_D[BL],D_D[MT],5,D_D[CAT],SMS, D_D[EP],-1,D_D[LOC],$A34),0))</f>
        <v>22</v>
      </c>
      <c r="F34" s="160">
        <f t="shared" ca="1" si="5"/>
        <v>8.0882352941176475E-2</v>
      </c>
      <c r="G34" s="161">
        <f ca="1">IF(ISNA($A34),"",IFERROR(SUMIFS(D_D[ADP],D_D[MT],5,D_D[CAT],SMS, D_D[EP],-1,D_D[LOC],$A34),0))</f>
        <v>83.36</v>
      </c>
      <c r="H34" s="160">
        <f ca="1">IF(ISNA($A34),"",IFERROR(SUMIFS(D_D[DEV],D_D[MT],5,D_D[CAT],SMS, D_D[EP],-1,D_D[LOC],$A34)/$D34,0))</f>
        <v>9.1911764705882359E-2</v>
      </c>
      <c r="I34" s="160">
        <f ca="1">IF(ISNA($A34),"",IFERROR(SUMIFS(D_D[EVD],D_D[MT],5,D_D[CAT],SMS, D_D[EP],-1,D_D[LOC],$A34)/$D34,0))</f>
        <v>0.64338235294117652</v>
      </c>
      <c r="J34" s="160">
        <f ca="1">IF(ISNA($A34),"",IFERROR(SUMIFS(D_D[DEC],D_D[MT],5,D_D[CAT],SMS, D_D[EP],-1,D_D[LOC],$A34)/$D34,0))</f>
        <v>0.15441176470588236</v>
      </c>
      <c r="K34" s="160">
        <f ca="1">IF(ISNA($A34),"",IFERROR(SUMIFS(D_D[AWD],D_D[MT],5,D_D[CAT],SMS, D_D[EP],-1,D_D[LOC],$A34)/$D34,0))</f>
        <v>0.10661764705882353</v>
      </c>
      <c r="L34" s="160">
        <f ca="1">IF(ISNA($A34),"",IFERROR(SUMIFS(D_D[AUT],D_D[MT],5,D_D[CAT],SMS, D_D[EP],-1,D_D[LOC],$A34)/$D34,0))</f>
        <v>3.6764705882352941E-3</v>
      </c>
      <c r="M34" s="6"/>
    </row>
    <row r="35" spans="1:13" ht="12.75" x14ac:dyDescent="0.2">
      <c r="A35" s="120" t="str">
        <f t="shared" ca="1" si="1"/>
        <v>460</v>
      </c>
      <c r="B35" s="23">
        <v>22</v>
      </c>
      <c r="C35" s="150" t="str">
        <f t="shared" ca="1" si="4"/>
        <v>Wilmington</v>
      </c>
      <c r="D35" s="159">
        <f ca="1">IF(ISNA($A35),"",IFERROR(SUMIFS(D_D[INV],D_D[MT],5,D_D[CAT],SMS, D_D[EP],-1,D_D[LOC],$A35),0))</f>
        <v>241</v>
      </c>
      <c r="E35" s="159">
        <f ca="1">IF(ISNA($A35),"",IFERROR(SUMIFS(D_D[BL],D_D[MT],5,D_D[CAT],SMS, D_D[EP],-1,D_D[LOC],$A35),0))</f>
        <v>32</v>
      </c>
      <c r="F35" s="160">
        <f t="shared" ca="1" si="5"/>
        <v>0.13278008298755187</v>
      </c>
      <c r="G35" s="161">
        <f ca="1">IF(ISNA($A35),"",IFERROR(SUMIFS(D_D[ADP],D_D[MT],5,D_D[CAT],SMS, D_D[EP],-1,D_D[LOC],$A35),0))</f>
        <v>89.4</v>
      </c>
      <c r="H35" s="160">
        <f ca="1">IF(ISNA($A35),"",IFERROR(SUMIFS(D_D[DEV],D_D[MT],5,D_D[CAT],SMS, D_D[EP],-1,D_D[LOC],$A35)/$D35,0))</f>
        <v>0.12863070539419086</v>
      </c>
      <c r="I35" s="160">
        <f ca="1">IF(ISNA($A35),"",IFERROR(SUMIFS(D_D[EVD],D_D[MT],5,D_D[CAT],SMS, D_D[EP],-1,D_D[LOC],$A35)/$D35,0))</f>
        <v>0.49792531120331951</v>
      </c>
      <c r="J35" s="160">
        <f ca="1">IF(ISNA($A35),"",IFERROR(SUMIFS(D_D[DEC],D_D[MT],5,D_D[CAT],SMS, D_D[EP],-1,D_D[LOC],$A35)/$D35,0))</f>
        <v>0.22821576763485477</v>
      </c>
      <c r="K35" s="160">
        <f ca="1">IF(ISNA($A35),"",IFERROR(SUMIFS(D_D[AWD],D_D[MT],5,D_D[CAT],SMS, D_D[EP],-1,D_D[LOC],$A35)/$D35,0))</f>
        <v>0.11203319502074689</v>
      </c>
      <c r="L35" s="160">
        <f ca="1">IF(ISNA($A35),"",IFERROR(SUMIFS(D_D[AUT],D_D[MT],5,D_D[CAT],SMS, D_D[EP],-1,D_D[LOC],$A35)/$D35,0))</f>
        <v>3.3195020746887967E-2</v>
      </c>
      <c r="M35" s="6"/>
    </row>
    <row r="36" spans="1:13" ht="12.75" x14ac:dyDescent="0.2">
      <c r="A36" s="120" t="e">
        <f t="shared" ca="1" si="1"/>
        <v>#N/A</v>
      </c>
      <c r="B36" s="23">
        <v>23</v>
      </c>
      <c r="C36" s="150" t="str">
        <f t="shared" ca="1" si="4"/>
        <v/>
      </c>
      <c r="D36" s="159" t="str">
        <f ca="1">IF(ISNA($A36),"",IFERROR(SUMIFS(D_D[INV],D_D[MT],5,D_D[CAT],SMS, D_D[EP],-1,D_D[LOC],$A36),0))</f>
        <v/>
      </c>
      <c r="E36" s="159" t="str">
        <f ca="1">IF(ISNA($A36),"",IFERROR(SUMIFS(D_D[BL],D_D[MT],5,D_D[CAT],SMS, D_D[EP],-1,D_D[LOC],$A36),0))</f>
        <v/>
      </c>
      <c r="F36" s="160" t="str">
        <f t="shared" ca="1" si="5"/>
        <v/>
      </c>
      <c r="G36" s="161" t="str">
        <f ca="1">IF(ISNA($A36),"",IFERROR(SUMIFS(D_D[ADP],D_D[MT],5,D_D[CAT],SMS, D_D[EP],-1,D_D[LOC],$A36),0))</f>
        <v/>
      </c>
      <c r="H36" s="160" t="str">
        <f ca="1">IF(ISNA($A36),"",IFERROR(SUMIFS(D_D[DEV],D_D[MT],5,D_D[CAT],SMS, D_D[EP],-1,D_D[LOC],$A36)/$D36,0))</f>
        <v/>
      </c>
      <c r="I36" s="160" t="str">
        <f ca="1">IF(ISNA($A36),"",IFERROR(SUMIFS(D_D[EVD],D_D[MT],5,D_D[CAT],SMS, D_D[EP],-1,D_D[LOC],$A36)/$D36,0))</f>
        <v/>
      </c>
      <c r="J36" s="160" t="str">
        <f ca="1">IF(ISNA($A36),"",IFERROR(SUMIFS(D_D[DEC],D_D[MT],5,D_D[CAT],SMS, D_D[EP],-1,D_D[LOC],$A36)/$D36,0))</f>
        <v/>
      </c>
      <c r="K36" s="160" t="str">
        <f ca="1">IF(ISNA($A36),"",IFERROR(SUMIFS(D_D[AWD],D_D[MT],5,D_D[CAT],SMS, D_D[EP],-1,D_D[LOC],$A36)/$D36,0))</f>
        <v/>
      </c>
      <c r="L36" s="160" t="str">
        <f ca="1">IF(ISNA($A36),"",IFERROR(SUMIFS(D_D[AUT],D_D[MT],5,D_D[CAT],SMS, D_D[EP],-1,D_D[LOC],$A36)/$D36,0))</f>
        <v/>
      </c>
      <c r="M36" s="6"/>
    </row>
    <row r="37" spans="1:13" ht="8.1" customHeight="1" x14ac:dyDescent="0.2">
      <c r="B37" s="4"/>
      <c r="C37" s="5"/>
      <c r="D37" s="5"/>
      <c r="E37" s="5"/>
      <c r="F37" s="5"/>
      <c r="G37" s="5"/>
      <c r="H37" s="5"/>
      <c r="I37" s="5"/>
      <c r="J37" s="5"/>
      <c r="K37" s="5"/>
      <c r="L37" s="5"/>
      <c r="M37" s="6"/>
    </row>
    <row r="38" spans="1:13" ht="12.75" hidden="1" customHeight="1" x14ac:dyDescent="0.2"/>
    <row r="39" spans="1:13" ht="12.75" hidden="1" customHeight="1" x14ac:dyDescent="0.2"/>
    <row r="40" spans="1:13" ht="12.75" hidden="1" customHeight="1" x14ac:dyDescent="0.2"/>
  </sheetData>
  <sheetProtection autoFilter="0"/>
  <protectedRanges>
    <protectedRange sqref="D13:L36" name="SOJ"/>
    <protectedRange sqref="D12:L12" name="SOJ_1"/>
  </protectedRanges>
  <mergeCells count="20">
    <mergeCell ref="J2:L2"/>
    <mergeCell ref="J3:L3"/>
    <mergeCell ref="L9:L11"/>
    <mergeCell ref="H9:H11"/>
    <mergeCell ref="I9:I11"/>
    <mergeCell ref="D2:I2"/>
    <mergeCell ref="D3:I3"/>
    <mergeCell ref="D6:I6"/>
    <mergeCell ref="D4:I4"/>
    <mergeCell ref="D5:I5"/>
    <mergeCell ref="J9:J11"/>
    <mergeCell ref="K9:K11"/>
    <mergeCell ref="J6:L6"/>
    <mergeCell ref="D9:D11"/>
    <mergeCell ref="E9:E11"/>
    <mergeCell ref="F9:F11"/>
    <mergeCell ref="G9:G11"/>
    <mergeCell ref="D8:G8"/>
    <mergeCell ref="H8:L8"/>
    <mergeCell ref="D7:I7"/>
  </mergeCells>
  <hyperlinks>
    <hyperlink ref="J6:L6" location="Legend!A1" display="Life Cycle Metrics defined on Legend tab" xr:uid="{00000000-0004-0000-0500-000000000000}"/>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0833"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20834"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20835"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20836"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20837"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20838"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dimension ref="A1:S100"/>
  <sheetViews>
    <sheetView showGridLines="0" zoomScaleNormal="100" zoomScaleSheetLayoutView="80" workbookViewId="0">
      <pane xSplit="3" ySplit="12" topLeftCell="D13" activePane="bottomRight" state="frozen"/>
      <selection activeCell="B1" sqref="B1"/>
      <selection pane="topRight" activeCell="D1" sqref="D1"/>
      <selection pane="bottomLeft" activeCell="B13" sqref="B13"/>
      <selection pane="bottomRight" activeCell="C12" sqref="C12"/>
    </sheetView>
  </sheetViews>
  <sheetFormatPr defaultColWidth="0" defaultRowHeight="0" customHeight="1" zeroHeight="1" x14ac:dyDescent="0.2"/>
  <cols>
    <col min="1" max="1" width="0.85546875" customWidth="1"/>
    <col min="2" max="2" width="1.7109375" customWidth="1"/>
    <col min="3" max="3" width="32.5703125" customWidth="1"/>
    <col min="4" max="4" width="23.28515625" customWidth="1"/>
    <col min="5" max="12" width="12.7109375" customWidth="1"/>
    <col min="13" max="13" width="1.7109375" customWidth="1"/>
    <col min="14" max="19" width="0" hidden="1" customWidth="1"/>
    <col min="20" max="16384" width="9.140625" hidden="1"/>
  </cols>
  <sheetData>
    <row r="1" spans="1:13" ht="8.1" customHeight="1" x14ac:dyDescent="0.2">
      <c r="B1" s="4"/>
      <c r="C1" s="5"/>
      <c r="D1" s="5"/>
      <c r="E1" s="5"/>
      <c r="F1" s="5"/>
      <c r="G1" s="5"/>
      <c r="H1" s="5"/>
      <c r="I1" s="5"/>
      <c r="J1" s="5"/>
      <c r="K1" s="5"/>
      <c r="L1" s="5"/>
      <c r="M1" s="6"/>
    </row>
    <row r="2" spans="1:13" ht="15" customHeight="1" x14ac:dyDescent="0.2">
      <c r="B2" s="4"/>
      <c r="C2" s="152" t="s">
        <v>449</v>
      </c>
      <c r="D2" s="130"/>
      <c r="E2" s="293" t="s">
        <v>804</v>
      </c>
      <c r="F2" s="294"/>
      <c r="G2" s="294"/>
      <c r="H2" s="294"/>
      <c r="I2" s="310"/>
      <c r="J2" s="293" t="s">
        <v>460</v>
      </c>
      <c r="K2" s="294"/>
      <c r="L2" s="310"/>
      <c r="M2" s="6"/>
    </row>
    <row r="3" spans="1:13" ht="15" customHeight="1" x14ac:dyDescent="0.2">
      <c r="B3" s="4"/>
      <c r="C3" s="92"/>
      <c r="D3" s="92"/>
      <c r="E3" s="311" t="s">
        <v>820</v>
      </c>
      <c r="F3" s="312"/>
      <c r="G3" s="312"/>
      <c r="H3" s="312"/>
      <c r="I3" s="313"/>
      <c r="J3" s="340">
        <f>D_DT[]</f>
        <v>43540</v>
      </c>
      <c r="K3" s="321"/>
      <c r="L3" s="322"/>
      <c r="M3" s="6"/>
    </row>
    <row r="4" spans="1:13" ht="15" customHeight="1" x14ac:dyDescent="0.2">
      <c r="B4" s="4"/>
      <c r="C4" s="92"/>
      <c r="D4" s="92"/>
      <c r="E4" s="344" t="s">
        <v>452</v>
      </c>
      <c r="F4" s="345"/>
      <c r="G4" s="345"/>
      <c r="H4" s="345"/>
      <c r="I4" s="346"/>
      <c r="J4" s="163"/>
      <c r="K4" s="163"/>
      <c r="L4" s="164"/>
      <c r="M4" s="6"/>
    </row>
    <row r="5" spans="1:13" ht="15" customHeight="1" x14ac:dyDescent="0.3">
      <c r="B5" s="7"/>
      <c r="C5" s="87"/>
      <c r="D5" s="87"/>
      <c r="E5" s="347"/>
      <c r="F5" s="348"/>
      <c r="G5" s="348"/>
      <c r="H5" s="348"/>
      <c r="I5" s="349"/>
      <c r="J5" s="118"/>
      <c r="K5" s="118"/>
      <c r="L5" s="166"/>
      <c r="M5" s="71"/>
    </row>
    <row r="6" spans="1:13" ht="15" customHeight="1" x14ac:dyDescent="0.3">
      <c r="B6" s="7"/>
      <c r="C6" s="87"/>
      <c r="D6" s="87"/>
      <c r="E6" s="174" t="s">
        <v>453</v>
      </c>
      <c r="F6" s="117"/>
      <c r="G6" s="117"/>
      <c r="H6" s="118"/>
      <c r="I6" s="166"/>
      <c r="J6" s="334" t="s">
        <v>835</v>
      </c>
      <c r="K6" s="335"/>
      <c r="L6" s="336"/>
      <c r="M6" s="71"/>
    </row>
    <row r="7" spans="1:13" ht="15" customHeight="1" x14ac:dyDescent="0.2">
      <c r="B7" s="71"/>
      <c r="C7" s="23"/>
      <c r="D7" s="9"/>
      <c r="E7" s="172"/>
      <c r="F7" s="173"/>
      <c r="G7" s="173"/>
      <c r="H7" s="167"/>
      <c r="I7" s="168"/>
      <c r="J7" s="171"/>
      <c r="K7" s="167"/>
      <c r="L7" s="168"/>
      <c r="M7" s="9"/>
    </row>
    <row r="8" spans="1:13" s="86" customFormat="1" ht="15" customHeight="1" x14ac:dyDescent="0.25">
      <c r="B8" s="84"/>
      <c r="C8" s="8"/>
      <c r="D8" s="8"/>
      <c r="E8" s="332" t="s">
        <v>471</v>
      </c>
      <c r="F8" s="333"/>
      <c r="G8" s="333"/>
      <c r="H8" s="309" t="s">
        <v>479</v>
      </c>
      <c r="I8" s="309"/>
      <c r="J8" s="302"/>
      <c r="K8" s="302"/>
      <c r="L8" s="302"/>
      <c r="M8" s="85"/>
    </row>
    <row r="9" spans="1:13" s="86" customFormat="1" ht="15" customHeight="1" x14ac:dyDescent="0.25">
      <c r="B9" s="84"/>
      <c r="C9" s="8" t="s">
        <v>434</v>
      </c>
      <c r="D9" s="119"/>
      <c r="E9" s="303" t="s">
        <v>462</v>
      </c>
      <c r="F9" s="303" t="s">
        <v>463</v>
      </c>
      <c r="G9" s="303" t="s">
        <v>464</v>
      </c>
      <c r="H9" s="301" t="s">
        <v>373</v>
      </c>
      <c r="I9" s="301" t="s">
        <v>374</v>
      </c>
      <c r="J9" s="301" t="s">
        <v>375</v>
      </c>
      <c r="K9" s="301" t="s">
        <v>376</v>
      </c>
      <c r="L9" s="301" t="s">
        <v>377</v>
      </c>
      <c r="M9" s="85"/>
    </row>
    <row r="10" spans="1:13" s="86" customFormat="1" ht="15" customHeight="1" x14ac:dyDescent="0.25">
      <c r="B10" s="84"/>
      <c r="C10" s="8"/>
      <c r="D10" s="8"/>
      <c r="E10" s="308"/>
      <c r="F10" s="308"/>
      <c r="G10" s="308"/>
      <c r="H10" s="301"/>
      <c r="I10" s="301"/>
      <c r="J10" s="301"/>
      <c r="K10" s="301"/>
      <c r="L10" s="301"/>
      <c r="M10" s="85"/>
    </row>
    <row r="11" spans="1:13" s="86" customFormat="1" ht="15" customHeight="1" x14ac:dyDescent="0.25">
      <c r="B11" s="84"/>
      <c r="C11" s="8"/>
      <c r="D11" s="8"/>
      <c r="E11" s="309"/>
      <c r="F11" s="309"/>
      <c r="G11" s="309"/>
      <c r="H11" s="301"/>
      <c r="I11" s="301"/>
      <c r="J11" s="301"/>
      <c r="K11" s="301"/>
      <c r="L11" s="301"/>
      <c r="M11" s="85"/>
    </row>
    <row r="12" spans="1:13" ht="12.75" x14ac:dyDescent="0.2">
      <c r="A12" s="120">
        <v>100</v>
      </c>
      <c r="B12" s="23"/>
      <c r="C12" s="148" t="str">
        <f>Driver!$C$20</f>
        <v>USA - All Missions</v>
      </c>
      <c r="D12" s="148" t="s">
        <v>187</v>
      </c>
      <c r="E12" s="126">
        <f>IF(ISNA($A12),"",IFERROR(SUMIFS(D_D[INV],D_D[MT],5,D_D[CAT],SMS, D_D[EP],-1,D_D[LOC],$A12),0))</f>
        <v>365584</v>
      </c>
      <c r="F12" s="126">
        <f>IF(ISNA($A12),"",IFERROR(SUMIFS(D_D[BL],D_D[MT],5,D_D[CAT],SMS, D_D[EP],-1,D_D[LOC],$A12),0))</f>
        <v>81966</v>
      </c>
      <c r="G12" s="127">
        <f>IF(ISNA($A12),"",IFERROR(F12/E12,0))</f>
        <v>0.22420565451442076</v>
      </c>
      <c r="H12" s="127">
        <f>IF(ISNA($A12),"",IFERROR(SUMIFS(D_D[DEV],D_D[MT],5,D_D[CAT],SMS, D_D[EP],-1,D_D[LOC],$A12)/$E12,0))</f>
        <v>6.7103593155061494E-2</v>
      </c>
      <c r="I12" s="127">
        <f>IF(ISNA($A12),"",IFERROR(SUMIFS(D_D[EVD],D_D[MT],5,D_D[CAT],SMS, D_D[EP],-1,D_D[LOC],$A12)/$E12,0))</f>
        <v>0.64182513457919388</v>
      </c>
      <c r="J12" s="127">
        <f>IF(ISNA($A12),"",IFERROR(SUMIFS(D_D[DEC],D_D[MT],5,D_D[CAT],SMS, D_D[EP],-1,D_D[LOC],$A12)/$E12,0))</f>
        <v>0.2285329773731892</v>
      </c>
      <c r="K12" s="127">
        <f>IF(ISNA($A12),"",IFERROR(SUMIFS(D_D[AWD],D_D[MT],5,D_D[CAT],SMS, D_D[EP],-1,D_D[LOC],$A12)/$E12,0))</f>
        <v>5.3194341109020091E-2</v>
      </c>
      <c r="L12" s="127">
        <f>IF(ISNA($A12),"",IFERROR(SUMIFS(D_D[AUT],D_D[MT],5,D_D[CAT],SMS, D_D[EP],-1,D_D[LOC],$A12)/$E12,0))</f>
        <v>9.3384830845988885E-3</v>
      </c>
      <c r="M12" s="6"/>
    </row>
    <row r="13" spans="1:13" ht="12.75" x14ac:dyDescent="0.2">
      <c r="A13" s="120">
        <v>499</v>
      </c>
      <c r="B13" s="23"/>
      <c r="C13" s="149" t="str">
        <f>"NWQ-"&amp;Driver!$C$20</f>
        <v>NWQ-USA - All Missions</v>
      </c>
      <c r="D13" s="149" t="s">
        <v>187</v>
      </c>
      <c r="E13" s="124">
        <f>IF(ISNA($A13),"",IFERROR(SUMIFS(D_D[INV],D_D[MT],5,D_D[CAT],SMS, D_D[EP],-1,D_D[LOC],$A13),0))</f>
        <v>251510</v>
      </c>
      <c r="F13" s="124">
        <f>IF(ISNA($A13),"",IFERROR(SUMIFS(D_D[BL],D_D[MT],5,D_D[CAT],SMS, D_D[EP],-1,D_D[LOC],$A13),0))</f>
        <v>46885</v>
      </c>
      <c r="G13" s="125">
        <f t="shared" ref="G13" si="0">IF(ISNA($A13),"",IFERROR(F13/E13,0))</f>
        <v>0.18641405908313785</v>
      </c>
      <c r="H13" s="125">
        <f>IF(ISNA($A13),"",IFERROR(SUMIFS(D_D[DEV],D_D[MT],5,D_D[CAT],SMS, D_D[EP],-1,D_D[LOC],$A13)/$E13,0))</f>
        <v>3.2837660530396405E-2</v>
      </c>
      <c r="I13" s="125">
        <f>IF(ISNA($A13),"",IFERROR(SUMIFS(D_D[EVD],D_D[MT],5,D_D[CAT],SMS, D_D[EP],-1,D_D[LOC],$A13)/$E13,0))</f>
        <v>0.67834280943103653</v>
      </c>
      <c r="J13" s="125">
        <f>IF(ISNA($A13),"",IFERROR(SUMIFS(D_D[DEC],D_D[MT],5,D_D[CAT],SMS, D_D[EP],-1,D_D[LOC],$A13)/$E13,0))</f>
        <v>0.27036300743509206</v>
      </c>
      <c r="K13" s="125">
        <f>IF(ISNA($A13),"",IFERROR(SUMIFS(D_D[AWD],D_D[MT],5,D_D[CAT],SMS, D_D[EP],-1,D_D[LOC],$A13)/$E13,0))</f>
        <v>1.8456522603475013E-2</v>
      </c>
      <c r="L13" s="125">
        <f>IF(ISNA($A13),"",IFERROR(SUMIFS(D_D[AUT],D_D[MT],5,D_D[CAT],SMS, D_D[EP],-1,D_D[LOC],$A13)/$E13,0))</f>
        <v>0</v>
      </c>
      <c r="M13" s="6"/>
    </row>
    <row r="14" spans="1:13" ht="12.75" x14ac:dyDescent="0.2">
      <c r="A14" s="120" t="str">
        <f ca="1">INDEX(STATE,(MATCH($C14,STATE_D,0)))</f>
        <v>394</v>
      </c>
      <c r="B14" s="23">
        <v>1</v>
      </c>
      <c r="C14" s="150" t="str">
        <f t="shared" ref="C14:C89" ca="1" si="1">IFERROR(INDEX(INDIRECT(DS_NWQ),B14),"")</f>
        <v>Northeast District</v>
      </c>
      <c r="D14" s="150" t="str">
        <f t="shared" ref="D14:D21" ca="1" si="2">IFERROR(INDEX(INDIRECT(DS_NWQD),B14),"")</f>
        <v xml:space="preserve"> </v>
      </c>
      <c r="E14" s="89">
        <f ca="1">IF(ISNA($A14),"",IFERROR(SUMIFS(D_D[INV],D_D[MT],5,D_D[CAT],SMS, D_D[EP],499,D_D[LOC],$A14),0))</f>
        <v>85706</v>
      </c>
      <c r="F14" s="89">
        <f ca="1">IF(ISNA($A14),"",IFERROR(SUMIFS(D_D[BL],D_D[MT],5,D_D[CAT],SMS, D_D[EP],499,D_D[LOC],$A14),0))</f>
        <v>19586</v>
      </c>
      <c r="G14" s="91">
        <f t="shared" ref="G14:G21" ca="1" si="3">IF(ISNA($A14),"",IFERROR(F14/E14,0))</f>
        <v>0.22852542412433202</v>
      </c>
      <c r="H14" s="91">
        <f ca="1">IF(ISNA($A14),"",IFERROR(SUMIFS(D_D[DEV],D_D[MT],5,D_D[CAT],SMS, D_D[EP],499,D_D[LOC],$A14)/$E14,0))</f>
        <v>7.4347186894733158E-2</v>
      </c>
      <c r="I14" s="91">
        <f ca="1">IF(ISNA($A14),"",IFERROR(SUMIFS(D_D[EVD],D_D[MT],5,D_D[CAT],SMS, D_D[EP],499,D_D[LOC],$A14)/$E14,0))</f>
        <v>0.65666347746948872</v>
      </c>
      <c r="J14" s="91">
        <f ca="1">IF(ISNA($A14),"",IFERROR(SUMIFS(D_D[DEC],D_D[MT],5,D_D[CAT],SMS, D_D[EP],499,D_D[LOC],$A14)/$E14,0))</f>
        <v>0.2040113877674842</v>
      </c>
      <c r="K14" s="91">
        <f ca="1">IF(ISNA($A14),"",IFERROR(SUMIFS(D_D[AWD],D_D[MT],5,D_D[CAT],SMS, D_D[EP],499,D_D[LOC],$A14)/$E14,0))</f>
        <v>5.4990315730520614E-2</v>
      </c>
      <c r="L14" s="91">
        <f ca="1">IF(ISNA($A14),"",IFERROR(SUMIFS(D_D[AUT],D_D[MT],5,D_D[CAT],SMS, D_D[EP],499,D_D[LOC],$A14)/$E14,0))</f>
        <v>9.9876321377733186E-3</v>
      </c>
      <c r="M14" s="6"/>
    </row>
    <row r="15" spans="1:13" ht="12.75" x14ac:dyDescent="0.2">
      <c r="A15" s="143" t="str">
        <f t="shared" ref="A15:A46" ca="1" si="4">IFERROR(INDEX(INDIRECT(DS_NWQI),B15),#N/A)</f>
        <v>CT100</v>
      </c>
      <c r="B15" s="23">
        <v>2</v>
      </c>
      <c r="C15" s="150" t="str">
        <f t="shared" ca="1" si="1"/>
        <v>Connecticut</v>
      </c>
      <c r="D15" s="150" t="str">
        <f ca="1">IFERROR(INDEX(INDIRECT(DS_NWQD),B15),"")</f>
        <v>Connecticut-Total</v>
      </c>
      <c r="E15" s="89">
        <f ca="1">IF(ISNA($A15),"",IFERROR(SUMIFS(D_D[INV],D_D[MT],5,D_D[CAT],SMS, D_D[EP],499,D_D[LOC],$A15),0))</f>
        <v>2100</v>
      </c>
      <c r="F15" s="89">
        <f ca="1">IF(ISNA($A15),"",IFERROR(SUMIFS(D_D[BL],D_D[MT],5,D_D[CAT],SMS, D_D[EP],499,D_D[LOC],$A15),0))</f>
        <v>386</v>
      </c>
      <c r="G15" s="91">
        <f t="shared" ca="1" si="3"/>
        <v>0.18380952380952381</v>
      </c>
      <c r="H15" s="91">
        <f ca="1">IF(ISNA($A15),"",IFERROR(SUMIFS(D_D[DEV],D_D[MT],5,D_D[CAT],SMS, D_D[EP],499,D_D[LOC],$A15)/$E15,0))</f>
        <v>7.0000000000000007E-2</v>
      </c>
      <c r="I15" s="91">
        <f ca="1">IF(ISNA($A15),"",IFERROR(SUMIFS(D_D[EVD],D_D[MT],5,D_D[CAT],SMS, D_D[EP],499,D_D[LOC],$A15)/$E15,0))</f>
        <v>0.669047619047619</v>
      </c>
      <c r="J15" s="91">
        <f ca="1">IF(ISNA($A15),"",IFERROR(SUMIFS(D_D[DEC],D_D[MT],5,D_D[CAT],SMS, D_D[EP],499,D_D[LOC],$A15)/$E15,0))</f>
        <v>0.19380952380952382</v>
      </c>
      <c r="K15" s="91">
        <f ca="1">IF(ISNA($A15),"",IFERROR(SUMIFS(D_D[AWD],D_D[MT],5,D_D[CAT],SMS, D_D[EP],499,D_D[LOC],$A15)/$E15,0))</f>
        <v>5.6666666666666664E-2</v>
      </c>
      <c r="L15" s="91">
        <f ca="1">IF(ISNA($A15),"",IFERROR(SUMIFS(D_D[AUT],D_D[MT],5,D_D[CAT],SMS, D_D[EP],499,D_D[LOC],$A15)/$E15,0))</f>
        <v>1.0476190476190476E-2</v>
      </c>
      <c r="M15" s="6"/>
    </row>
    <row r="16" spans="1:13" ht="12.75" x14ac:dyDescent="0.2">
      <c r="A16" s="143" t="str">
        <f t="shared" ca="1" si="4"/>
        <v>CT308</v>
      </c>
      <c r="B16" s="23">
        <v>3</v>
      </c>
      <c r="C16" s="151">
        <f t="shared" ca="1" si="1"/>
        <v>0</v>
      </c>
      <c r="D16" s="150" t="str">
        <f t="shared" ca="1" si="2"/>
        <v>Hartford RO</v>
      </c>
      <c r="E16" s="89">
        <f ca="1">IF(ISNA($A16),"",IFERROR(SUMIFS(D_D[INV],D_D[MT],5,D_D[CAT],SMS, D_D[EP],499,D_D[LOC],$A16),0))</f>
        <v>245</v>
      </c>
      <c r="F16" s="89">
        <f ca="1">IF(ISNA($A16),"",IFERROR(SUMIFS(D_D[BL],D_D[MT],5,D_D[CAT],SMS, D_D[EP],499,D_D[LOC],$A16),0))</f>
        <v>8</v>
      </c>
      <c r="G16" s="91">
        <f t="shared" ca="1" si="3"/>
        <v>3.2653061224489799E-2</v>
      </c>
      <c r="H16" s="91">
        <f ca="1">IF(ISNA($A16),"",IFERROR(SUMIFS(D_D[DEV],D_D[MT],5,D_D[CAT],SMS, D_D[EP],499,D_D[LOC],$A16)/$E16,0))</f>
        <v>0.11428571428571428</v>
      </c>
      <c r="I16" s="91">
        <f ca="1">IF(ISNA($A16),"",IFERROR(SUMIFS(D_D[EVD],D_D[MT],5,D_D[CAT],SMS, D_D[EP],499,D_D[LOC],$A16)/$E16,0))</f>
        <v>0.73877551020408161</v>
      </c>
      <c r="J16" s="91">
        <f ca="1">IF(ISNA($A16),"",IFERROR(SUMIFS(D_D[DEC],D_D[MT],5,D_D[CAT],SMS, D_D[EP],499,D_D[LOC],$A16)/$E16,0))</f>
        <v>3.2653061224489799E-2</v>
      </c>
      <c r="K16" s="91">
        <f ca="1">IF(ISNA($A16),"",IFERROR(SUMIFS(D_D[AWD],D_D[MT],5,D_D[CAT],SMS, D_D[EP],499,D_D[LOC],$A16)/$E16,0))</f>
        <v>9.3877551020408165E-2</v>
      </c>
      <c r="L16" s="91">
        <f ca="1">IF(ISNA($A16),"",IFERROR(SUMIFS(D_D[AUT],D_D[MT],5,D_D[CAT],SMS, D_D[EP],499,D_D[LOC],$A16)/$E16,0))</f>
        <v>2.0408163265306121E-2</v>
      </c>
      <c r="M16" s="6"/>
    </row>
    <row r="17" spans="1:13" ht="12.75" x14ac:dyDescent="0.2">
      <c r="A17" s="143" t="str">
        <f t="shared" ca="1" si="4"/>
        <v>CT-1</v>
      </c>
      <c r="B17" s="23">
        <v>4</v>
      </c>
      <c r="C17" s="151" t="str">
        <f t="shared" ca="1" si="1"/>
        <v xml:space="preserve"> </v>
      </c>
      <c r="D17" s="150" t="str">
        <f t="shared" ca="1" si="2"/>
        <v>Connecticut-Other RO</v>
      </c>
      <c r="E17" s="89">
        <f ca="1">IF(ISNA($A17),"",IFERROR(SUMIFS(D_D[INV],D_D[MT],5,D_D[CAT],SMS, D_D[EP],499,D_D[LOC],$A17),0))</f>
        <v>344</v>
      </c>
      <c r="F17" s="89">
        <f ca="1">IF(ISNA($A17),"",IFERROR(SUMIFS(D_D[BL],D_D[MT],5,D_D[CAT],SMS, D_D[EP],499,D_D[LOC],$A17),0))</f>
        <v>142</v>
      </c>
      <c r="G17" s="91">
        <f t="shared" ca="1" si="3"/>
        <v>0.41279069767441862</v>
      </c>
      <c r="H17" s="91">
        <f ca="1">IF(ISNA($A17),"",IFERROR(SUMIFS(D_D[DEV],D_D[MT],5,D_D[CAT],SMS, D_D[EP],499,D_D[LOC],$A17)/$E17,0))</f>
        <v>0.1744186046511628</v>
      </c>
      <c r="I17" s="91">
        <f ca="1">IF(ISNA($A17),"",IFERROR(SUMIFS(D_D[EVD],D_D[MT],5,D_D[CAT],SMS, D_D[EP],499,D_D[LOC],$A17)/$E17,0))</f>
        <v>0.34883720930232559</v>
      </c>
      <c r="J17" s="91">
        <f ca="1">IF(ISNA($A17),"",IFERROR(SUMIFS(D_D[DEC],D_D[MT],5,D_D[CAT],SMS, D_D[EP],499,D_D[LOC],$A17)/$E17,0))</f>
        <v>0.20930232558139536</v>
      </c>
      <c r="K17" s="91">
        <f ca="1">IF(ISNA($A17),"",IFERROR(SUMIFS(D_D[AWD],D_D[MT],5,D_D[CAT],SMS, D_D[EP],499,D_D[LOC],$A17)/$E17,0))</f>
        <v>0.21802325581395349</v>
      </c>
      <c r="L17" s="91">
        <f ca="1">IF(ISNA($A17),"",IFERROR(SUMIFS(D_D[AUT],D_D[MT],5,D_D[CAT],SMS, D_D[EP],499,D_D[LOC],$A17)/$E17,0))</f>
        <v>4.9418604651162788E-2</v>
      </c>
      <c r="M17" s="6"/>
    </row>
    <row r="18" spans="1:13" ht="12.75" x14ac:dyDescent="0.2">
      <c r="A18" s="143" t="str">
        <f t="shared" ca="1" si="4"/>
        <v>CT499</v>
      </c>
      <c r="B18" s="23">
        <v>5</v>
      </c>
      <c r="C18" s="151" t="str">
        <f t="shared" ca="1" si="1"/>
        <v xml:space="preserve"> </v>
      </c>
      <c r="D18" s="150" t="str">
        <f t="shared" ca="1" si="2"/>
        <v>Connecticut-NWQ</v>
      </c>
      <c r="E18" s="89">
        <f ca="1">IF(ISNA($A18),"",IFERROR(SUMIFS(D_D[INV],D_D[MT],5,D_D[CAT],SMS, D_D[EP],499,D_D[LOC],$A18),0))</f>
        <v>1511</v>
      </c>
      <c r="F18" s="89">
        <f ca="1">IF(ISNA($A18),"",IFERROR(SUMIFS(D_D[BL],D_D[MT],5,D_D[CAT],SMS, D_D[EP],499,D_D[LOC],$A18),0))</f>
        <v>236</v>
      </c>
      <c r="G18" s="91">
        <f t="shared" ca="1" si="3"/>
        <v>0.15618795499669094</v>
      </c>
      <c r="H18" s="91">
        <f ca="1">IF(ISNA($A18),"",IFERROR(SUMIFS(D_D[DEV],D_D[MT],5,D_D[CAT],SMS, D_D[EP],499,D_D[LOC],$A18)/$E18,0))</f>
        <v>3.9046988749172735E-2</v>
      </c>
      <c r="I18" s="91">
        <f ca="1">IF(ISNA($A18),"",IFERROR(SUMIFS(D_D[EVD],D_D[MT],5,D_D[CAT],SMS, D_D[EP],499,D_D[LOC],$A18)/$E18,0))</f>
        <v>0.73064195896757111</v>
      </c>
      <c r="J18" s="91">
        <f ca="1">IF(ISNA($A18),"",IFERROR(SUMIFS(D_D[DEC],D_D[MT],5,D_D[CAT],SMS, D_D[EP],499,D_D[LOC],$A18)/$E18,0))</f>
        <v>0.21641297154202516</v>
      </c>
      <c r="K18" s="91">
        <f ca="1">IF(ISNA($A18),"",IFERROR(SUMIFS(D_D[AWD],D_D[MT],5,D_D[CAT],SMS, D_D[EP],499,D_D[LOC],$A18)/$E18,0))</f>
        <v>1.3898080741230973E-2</v>
      </c>
      <c r="L18" s="91">
        <f ca="1">IF(ISNA($A18),"",IFERROR(SUMIFS(D_D[AUT],D_D[MT],5,D_D[CAT],SMS, D_D[EP],499,D_D[LOC],$A18)/$E18,0))</f>
        <v>0</v>
      </c>
      <c r="M18" s="6"/>
    </row>
    <row r="19" spans="1:13" ht="12.75" x14ac:dyDescent="0.2">
      <c r="A19" s="143" t="str">
        <f t="shared" ca="1" si="4"/>
        <v>DE100</v>
      </c>
      <c r="B19" s="23">
        <v>6</v>
      </c>
      <c r="C19" s="151" t="str">
        <f t="shared" ca="1" si="1"/>
        <v>Delaware</v>
      </c>
      <c r="D19" s="150" t="str">
        <f t="shared" ca="1" si="2"/>
        <v>Delaware-Total</v>
      </c>
      <c r="E19" s="89">
        <f ca="1">IF(ISNA($A19),"",IFERROR(SUMIFS(D_D[INV],D_D[MT],5,D_D[CAT],SMS, D_D[EP],499,D_D[LOC],$A19),0))</f>
        <v>975</v>
      </c>
      <c r="F19" s="89">
        <f ca="1">IF(ISNA($A19),"",IFERROR(SUMIFS(D_D[BL],D_D[MT],5,D_D[CAT],SMS, D_D[EP],499,D_D[LOC],$A19),0))</f>
        <v>260</v>
      </c>
      <c r="G19" s="91">
        <f t="shared" ca="1" si="3"/>
        <v>0.26666666666666666</v>
      </c>
      <c r="H19" s="91">
        <f ca="1">IF(ISNA($A19),"",IFERROR(SUMIFS(D_D[DEV],D_D[MT],5,D_D[CAT],SMS, D_D[EP],499,D_D[LOC],$A19)/$E19,0))</f>
        <v>6.6666666666666666E-2</v>
      </c>
      <c r="I19" s="91">
        <f ca="1">IF(ISNA($A19),"",IFERROR(SUMIFS(D_D[EVD],D_D[MT],5,D_D[CAT],SMS, D_D[EP],499,D_D[LOC],$A19)/$E19,0))</f>
        <v>0.6676923076923077</v>
      </c>
      <c r="J19" s="91">
        <f ca="1">IF(ISNA($A19),"",IFERROR(SUMIFS(D_D[DEC],D_D[MT],5,D_D[CAT],SMS, D_D[EP],499,D_D[LOC],$A19)/$E19,0))</f>
        <v>0.19794871794871796</v>
      </c>
      <c r="K19" s="91">
        <f ca="1">IF(ISNA($A19),"",IFERROR(SUMIFS(D_D[AWD],D_D[MT],5,D_D[CAT],SMS, D_D[EP],499,D_D[LOC],$A19)/$E19,0))</f>
        <v>5.8461538461538461E-2</v>
      </c>
      <c r="L19" s="91">
        <f ca="1">IF(ISNA($A19),"",IFERROR(SUMIFS(D_D[AUT],D_D[MT],5,D_D[CAT],SMS, D_D[EP],499,D_D[LOC],$A19)/$E19,0))</f>
        <v>9.2307692307692316E-3</v>
      </c>
      <c r="M19" s="6"/>
    </row>
    <row r="20" spans="1:13" ht="12.75" x14ac:dyDescent="0.2">
      <c r="A20" s="143" t="str">
        <f t="shared" ca="1" si="4"/>
        <v>DE460</v>
      </c>
      <c r="B20" s="23">
        <v>7</v>
      </c>
      <c r="C20" s="151">
        <f t="shared" ca="1" si="1"/>
        <v>0</v>
      </c>
      <c r="D20" s="150" t="str">
        <f t="shared" ca="1" si="2"/>
        <v>Wilmington RO</v>
      </c>
      <c r="E20" s="89">
        <f ca="1">IF(ISNA($A20),"",IFERROR(SUMIFS(D_D[INV],D_D[MT],5,D_D[CAT],SMS, D_D[EP],499,D_D[LOC],$A20),0))</f>
        <v>92</v>
      </c>
      <c r="F20" s="89">
        <f ca="1">IF(ISNA($A20),"",IFERROR(SUMIFS(D_D[BL],D_D[MT],5,D_D[CAT],SMS, D_D[EP],499,D_D[LOC],$A20),0))</f>
        <v>17</v>
      </c>
      <c r="G20" s="91">
        <f t="shared" ca="1" si="3"/>
        <v>0.18478260869565216</v>
      </c>
      <c r="H20" s="91">
        <f ca="1">IF(ISNA($A20),"",IFERROR(SUMIFS(D_D[DEV],D_D[MT],5,D_D[CAT],SMS, D_D[EP],499,D_D[LOC],$A20)/$E20,0))</f>
        <v>0.11956521739130435</v>
      </c>
      <c r="I20" s="91">
        <f ca="1">IF(ISNA($A20),"",IFERROR(SUMIFS(D_D[EVD],D_D[MT],5,D_D[CAT],SMS, D_D[EP],499,D_D[LOC],$A20)/$E20,0))</f>
        <v>0.65217391304347827</v>
      </c>
      <c r="J20" s="91">
        <f ca="1">IF(ISNA($A20),"",IFERROR(SUMIFS(D_D[DEC],D_D[MT],5,D_D[CAT],SMS, D_D[EP],499,D_D[LOC],$A20)/$E20,0))</f>
        <v>0.17391304347826086</v>
      </c>
      <c r="K20" s="91">
        <f ca="1">IF(ISNA($A20),"",IFERROR(SUMIFS(D_D[AWD],D_D[MT],5,D_D[CAT],SMS, D_D[EP],499,D_D[LOC],$A20)/$E20,0))</f>
        <v>5.434782608695652E-2</v>
      </c>
      <c r="L20" s="91">
        <f ca="1">IF(ISNA($A20),"",IFERROR(SUMIFS(D_D[AUT],D_D[MT],5,D_D[CAT],SMS, D_D[EP],499,D_D[LOC],$A20)/$E20,0))</f>
        <v>0</v>
      </c>
      <c r="M20" s="6"/>
    </row>
    <row r="21" spans="1:13" ht="12.75" x14ac:dyDescent="0.2">
      <c r="A21" s="143" t="str">
        <f t="shared" ca="1" si="4"/>
        <v>DE-1</v>
      </c>
      <c r="B21" s="23">
        <v>8</v>
      </c>
      <c r="C21" s="151" t="str">
        <f t="shared" ca="1" si="1"/>
        <v xml:space="preserve"> </v>
      </c>
      <c r="D21" s="150" t="str">
        <f t="shared" ca="1" si="2"/>
        <v>Delaware-Other RO</v>
      </c>
      <c r="E21" s="89">
        <f ca="1">IF(ISNA($A21),"",IFERROR(SUMIFS(D_D[INV],D_D[MT],5,D_D[CAT],SMS, D_D[EP],499,D_D[LOC],$A21),0))</f>
        <v>205</v>
      </c>
      <c r="F21" s="89">
        <f ca="1">IF(ISNA($A21),"",IFERROR(SUMIFS(D_D[BL],D_D[MT],5,D_D[CAT],SMS, D_D[EP],499,D_D[LOC],$A21),0))</f>
        <v>84</v>
      </c>
      <c r="G21" s="91">
        <f t="shared" ca="1" si="3"/>
        <v>0.40975609756097559</v>
      </c>
      <c r="H21" s="91">
        <f ca="1">IF(ISNA($A21),"",IFERROR(SUMIFS(D_D[DEV],D_D[MT],5,D_D[CAT],SMS, D_D[EP],499,D_D[LOC],$A21)/$E21,0))</f>
        <v>0.16585365853658537</v>
      </c>
      <c r="I21" s="91">
        <f ca="1">IF(ISNA($A21),"",IFERROR(SUMIFS(D_D[EVD],D_D[MT],5,D_D[CAT],SMS, D_D[EP],499,D_D[LOC],$A21)/$E21,0))</f>
        <v>0.46341463414634149</v>
      </c>
      <c r="J21" s="91">
        <f ca="1">IF(ISNA($A21),"",IFERROR(SUMIFS(D_D[DEC],D_D[MT],5,D_D[CAT],SMS, D_D[EP],499,D_D[LOC],$A21)/$E21,0))</f>
        <v>0.15609756097560976</v>
      </c>
      <c r="K21" s="91">
        <f ca="1">IF(ISNA($A21),"",IFERROR(SUMIFS(D_D[AWD],D_D[MT],5,D_D[CAT],SMS, D_D[EP],499,D_D[LOC],$A21)/$E21,0))</f>
        <v>0.17073170731707318</v>
      </c>
      <c r="L21" s="91">
        <f ca="1">IF(ISNA($A21),"",IFERROR(SUMIFS(D_D[AUT],D_D[MT],5,D_D[CAT],SMS, D_D[EP],499,D_D[LOC],$A21)/$E21,0))</f>
        <v>4.3902439024390241E-2</v>
      </c>
      <c r="M21" s="6"/>
    </row>
    <row r="22" spans="1:13" ht="12.75" x14ac:dyDescent="0.2">
      <c r="A22" s="143" t="str">
        <f t="shared" ca="1" si="4"/>
        <v>DE499</v>
      </c>
      <c r="B22" s="23">
        <v>9</v>
      </c>
      <c r="C22" s="151" t="str">
        <f t="shared" ca="1" si="1"/>
        <v xml:space="preserve"> </v>
      </c>
      <c r="D22" s="150" t="str">
        <f t="shared" ref="D22:D27" ca="1" si="5">IFERROR(INDEX(INDIRECT(DS_NWQD),B22),"")</f>
        <v>Delaware-NWQ</v>
      </c>
      <c r="E22" s="89">
        <f ca="1">IF(ISNA($A22),"",IFERROR(SUMIFS(D_D[INV],D_D[MT],5,D_D[CAT],SMS, D_D[EP],499,D_D[LOC],$A22),0))</f>
        <v>678</v>
      </c>
      <c r="F22" s="89">
        <f ca="1">IF(ISNA($A22),"",IFERROR(SUMIFS(D_D[BL],D_D[MT],5,D_D[CAT],SMS, D_D[EP],499,D_D[LOC],$A22),0))</f>
        <v>159</v>
      </c>
      <c r="G22" s="91">
        <f t="shared" ref="G22:G27" ca="1" si="6">IF(ISNA($A22),"",IFERROR(F22/E22,0))</f>
        <v>0.23451327433628319</v>
      </c>
      <c r="H22" s="91">
        <f ca="1">IF(ISNA($A22),"",IFERROR(SUMIFS(D_D[DEV],D_D[MT],5,D_D[CAT],SMS, D_D[EP],499,D_D[LOC],$A22)/$E22,0))</f>
        <v>2.9498525073746312E-2</v>
      </c>
      <c r="I22" s="91">
        <f ca="1">IF(ISNA($A22),"",IFERROR(SUMIFS(D_D[EVD],D_D[MT],5,D_D[CAT],SMS, D_D[EP],499,D_D[LOC],$A22)/$E22,0))</f>
        <v>0.73156342182890854</v>
      </c>
      <c r="J22" s="91">
        <f ca="1">IF(ISNA($A22),"",IFERROR(SUMIFS(D_D[DEC],D_D[MT],5,D_D[CAT],SMS, D_D[EP],499,D_D[LOC],$A22)/$E22,0))</f>
        <v>0.21386430678466076</v>
      </c>
      <c r="K22" s="91">
        <f ca="1">IF(ISNA($A22),"",IFERROR(SUMIFS(D_D[AWD],D_D[MT],5,D_D[CAT],SMS, D_D[EP],499,D_D[LOC],$A22)/$E22,0))</f>
        <v>2.5073746312684365E-2</v>
      </c>
      <c r="L22" s="91">
        <f ca="1">IF(ISNA($A22),"",IFERROR(SUMIFS(D_D[AUT],D_D[MT],5,D_D[CAT],SMS, D_D[EP],499,D_D[LOC],$A22)/$E22,0))</f>
        <v>0</v>
      </c>
      <c r="M22" s="6"/>
    </row>
    <row r="23" spans="1:13" ht="12.75" x14ac:dyDescent="0.2">
      <c r="A23" s="143" t="str">
        <f t="shared" ca="1" si="4"/>
        <v>DC100</v>
      </c>
      <c r="B23" s="23">
        <v>10</v>
      </c>
      <c r="C23" s="151" t="str">
        <f t="shared" ca="1" si="1"/>
        <v>DC</v>
      </c>
      <c r="D23" s="150" t="str">
        <f t="shared" ca="1" si="5"/>
        <v>DC-Total</v>
      </c>
      <c r="E23" s="89">
        <f ca="1">IF(ISNA($A23),"",IFERROR(SUMIFS(D_D[INV],D_D[MT],5,D_D[CAT],SMS, D_D[EP],499,D_D[LOC],$A23),0))</f>
        <v>515</v>
      </c>
      <c r="F23" s="89">
        <f ca="1">IF(ISNA($A23),"",IFERROR(SUMIFS(D_D[BL],D_D[MT],5,D_D[CAT],SMS, D_D[EP],499,D_D[LOC],$A23),0))</f>
        <v>142</v>
      </c>
      <c r="G23" s="91">
        <f t="shared" ca="1" si="6"/>
        <v>0.27572815533980582</v>
      </c>
      <c r="H23" s="91">
        <f ca="1">IF(ISNA($A23),"",IFERROR(SUMIFS(D_D[DEV],D_D[MT],5,D_D[CAT],SMS, D_D[EP],499,D_D[LOC],$A23)/$E23,0))</f>
        <v>6.6019417475728162E-2</v>
      </c>
      <c r="I23" s="91">
        <f ca="1">IF(ISNA($A23),"",IFERROR(SUMIFS(D_D[EVD],D_D[MT],5,D_D[CAT],SMS, D_D[EP],499,D_D[LOC],$A23)/$E23,0))</f>
        <v>0.6912621359223301</v>
      </c>
      <c r="J23" s="91">
        <f ca="1">IF(ISNA($A23),"",IFERROR(SUMIFS(D_D[DEC],D_D[MT],5,D_D[CAT],SMS, D_D[EP],499,D_D[LOC],$A23)/$E23,0))</f>
        <v>0.19029126213592232</v>
      </c>
      <c r="K23" s="91">
        <f ca="1">IF(ISNA($A23),"",IFERROR(SUMIFS(D_D[AWD],D_D[MT],5,D_D[CAT],SMS, D_D[EP],499,D_D[LOC],$A23)/$E23,0))</f>
        <v>4.2718446601941747E-2</v>
      </c>
      <c r="L23" s="91">
        <f ca="1">IF(ISNA($A23),"",IFERROR(SUMIFS(D_D[AUT],D_D[MT],5,D_D[CAT],SMS, D_D[EP],499,D_D[LOC],$A23)/$E23,0))</f>
        <v>9.7087378640776691E-3</v>
      </c>
      <c r="M23" s="6"/>
    </row>
    <row r="24" spans="1:13" ht="12.75" x14ac:dyDescent="0.2">
      <c r="A24" s="143" t="str">
        <f t="shared" ca="1" si="4"/>
        <v>DC372</v>
      </c>
      <c r="B24" s="23">
        <v>11</v>
      </c>
      <c r="C24" s="151" t="str">
        <f t="shared" ca="1" si="1"/>
        <v xml:space="preserve"> </v>
      </c>
      <c r="D24" s="150" t="str">
        <f t="shared" ca="1" si="5"/>
        <v>Washington DC RO</v>
      </c>
      <c r="E24" s="89">
        <f ca="1">IF(ISNA($A24),"",IFERROR(SUMIFS(D_D[INV],D_D[MT],5,D_D[CAT],SMS, D_D[EP],499,D_D[LOC],$A24),0))</f>
        <v>1</v>
      </c>
      <c r="F24" s="89">
        <f ca="1">IF(ISNA($A24),"",IFERROR(SUMIFS(D_D[BL],D_D[MT],5,D_D[CAT],SMS, D_D[EP],499,D_D[LOC],$A24),0))</f>
        <v>0</v>
      </c>
      <c r="G24" s="91">
        <f t="shared" ca="1" si="6"/>
        <v>0</v>
      </c>
      <c r="H24" s="91">
        <f ca="1">IF(ISNA($A24),"",IFERROR(SUMIFS(D_D[DEV],D_D[MT],5,D_D[CAT],SMS, D_D[EP],499,D_D[LOC],$A24)/$E24,0))</f>
        <v>0</v>
      </c>
      <c r="I24" s="91">
        <f ca="1">IF(ISNA($A24),"",IFERROR(SUMIFS(D_D[EVD],D_D[MT],5,D_D[CAT],SMS, D_D[EP],499,D_D[LOC],$A24)/$E24,0))</f>
        <v>0</v>
      </c>
      <c r="J24" s="91">
        <f ca="1">IF(ISNA($A24),"",IFERROR(SUMIFS(D_D[DEC],D_D[MT],5,D_D[CAT],SMS, D_D[EP],499,D_D[LOC],$A24)/$E24,0))</f>
        <v>0</v>
      </c>
      <c r="K24" s="91">
        <f ca="1">IF(ISNA($A24),"",IFERROR(SUMIFS(D_D[AWD],D_D[MT],5,D_D[CAT],SMS, D_D[EP],499,D_D[LOC],$A24)/$E24,0))</f>
        <v>1</v>
      </c>
      <c r="L24" s="91">
        <f ca="1">IF(ISNA($A24),"",IFERROR(SUMIFS(D_D[AUT],D_D[MT],5,D_D[CAT],SMS, D_D[EP],499,D_D[LOC],$A24)/$E24,0))</f>
        <v>0</v>
      </c>
      <c r="M24" s="6"/>
    </row>
    <row r="25" spans="1:13" ht="12.75" x14ac:dyDescent="0.2">
      <c r="A25" s="143" t="str">
        <f t="shared" ca="1" si="4"/>
        <v>DC-1</v>
      </c>
      <c r="B25" s="23">
        <v>12</v>
      </c>
      <c r="C25" s="151" t="str">
        <f t="shared" ca="1" si="1"/>
        <v xml:space="preserve"> </v>
      </c>
      <c r="D25" s="150" t="str">
        <f t="shared" ca="1" si="5"/>
        <v>DC-Other RO</v>
      </c>
      <c r="E25" s="89">
        <f ca="1">IF(ISNA($A25),"",IFERROR(SUMIFS(D_D[INV],D_D[MT],5,D_D[CAT],SMS, D_D[EP],499,D_D[LOC],$A25),0))</f>
        <v>155</v>
      </c>
      <c r="F25" s="89">
        <f ca="1">IF(ISNA($A25),"",IFERROR(SUMIFS(D_D[BL],D_D[MT],5,D_D[CAT],SMS, D_D[EP],499,D_D[LOC],$A25),0))</f>
        <v>56</v>
      </c>
      <c r="G25" s="91">
        <f t="shared" ca="1" si="6"/>
        <v>0.36129032258064514</v>
      </c>
      <c r="H25" s="91">
        <f ca="1">IF(ISNA($A25),"",IFERROR(SUMIFS(D_D[DEV],D_D[MT],5,D_D[CAT],SMS, D_D[EP],499,D_D[LOC],$A25)/$E25,0))</f>
        <v>0.1032258064516129</v>
      </c>
      <c r="I25" s="91">
        <f ca="1">IF(ISNA($A25),"",IFERROR(SUMIFS(D_D[EVD],D_D[MT],5,D_D[CAT],SMS, D_D[EP],499,D_D[LOC],$A25)/$E25,0))</f>
        <v>0.63225806451612898</v>
      </c>
      <c r="J25" s="91">
        <f ca="1">IF(ISNA($A25),"",IFERROR(SUMIFS(D_D[DEC],D_D[MT],5,D_D[CAT],SMS, D_D[EP],499,D_D[LOC],$A25)/$E25,0))</f>
        <v>0.12258064516129032</v>
      </c>
      <c r="K25" s="91">
        <f ca="1">IF(ISNA($A25),"",IFERROR(SUMIFS(D_D[AWD],D_D[MT],5,D_D[CAT],SMS, D_D[EP],499,D_D[LOC],$A25)/$E25,0))</f>
        <v>0.10967741935483871</v>
      </c>
      <c r="L25" s="91">
        <f ca="1">IF(ISNA($A25),"",IFERROR(SUMIFS(D_D[AUT],D_D[MT],5,D_D[CAT],SMS, D_D[EP],499,D_D[LOC],$A25)/$E25,0))</f>
        <v>3.2258064516129031E-2</v>
      </c>
      <c r="M25" s="6"/>
    </row>
    <row r="26" spans="1:13" ht="12.75" x14ac:dyDescent="0.2">
      <c r="A26" s="143" t="str">
        <f t="shared" ca="1" si="4"/>
        <v>DC499</v>
      </c>
      <c r="B26" s="23">
        <v>13</v>
      </c>
      <c r="C26" s="151" t="str">
        <f t="shared" ca="1" si="1"/>
        <v xml:space="preserve"> </v>
      </c>
      <c r="D26" s="150" t="str">
        <f t="shared" ca="1" si="5"/>
        <v>DC-NWQ</v>
      </c>
      <c r="E26" s="89">
        <f ca="1">IF(ISNA($A26),"",IFERROR(SUMIFS(D_D[INV],D_D[MT],5,D_D[CAT],SMS, D_D[EP],499,D_D[LOC],$A26),0))</f>
        <v>359</v>
      </c>
      <c r="F26" s="89">
        <f ca="1">IF(ISNA($A26),"",IFERROR(SUMIFS(D_D[BL],D_D[MT],5,D_D[CAT],SMS, D_D[EP],499,D_D[LOC],$A26),0))</f>
        <v>86</v>
      </c>
      <c r="G26" s="91">
        <f t="shared" ca="1" si="6"/>
        <v>0.23955431754874651</v>
      </c>
      <c r="H26" s="91">
        <f ca="1">IF(ISNA($A26),"",IFERROR(SUMIFS(D_D[DEV],D_D[MT],5,D_D[CAT],SMS, D_D[EP],499,D_D[LOC],$A26)/$E26,0))</f>
        <v>5.0139275766016712E-2</v>
      </c>
      <c r="I26" s="91">
        <f ca="1">IF(ISNA($A26),"",IFERROR(SUMIFS(D_D[EVD],D_D[MT],5,D_D[CAT],SMS, D_D[EP],499,D_D[LOC],$A26)/$E26,0))</f>
        <v>0.71866295264623958</v>
      </c>
      <c r="J26" s="91">
        <f ca="1">IF(ISNA($A26),"",IFERROR(SUMIFS(D_D[DEC],D_D[MT],5,D_D[CAT],SMS, D_D[EP],499,D_D[LOC],$A26)/$E26,0))</f>
        <v>0.22005571030640669</v>
      </c>
      <c r="K26" s="91">
        <f ca="1">IF(ISNA($A26),"",IFERROR(SUMIFS(D_D[AWD],D_D[MT],5,D_D[CAT],SMS, D_D[EP],499,D_D[LOC],$A26)/$E26,0))</f>
        <v>1.1142061281337047E-2</v>
      </c>
      <c r="L26" s="91">
        <f ca="1">IF(ISNA($A26),"",IFERROR(SUMIFS(D_D[AUT],D_D[MT],5,D_D[CAT],SMS, D_D[EP],499,D_D[LOC],$A26)/$E26,0))</f>
        <v>0</v>
      </c>
      <c r="M26" s="6"/>
    </row>
    <row r="27" spans="1:13" ht="12.75" x14ac:dyDescent="0.2">
      <c r="A27" s="143" t="str">
        <f t="shared" ca="1" si="4"/>
        <v>IL100</v>
      </c>
      <c r="B27" s="23">
        <v>14</v>
      </c>
      <c r="C27" s="151" t="str">
        <f t="shared" ca="1" si="1"/>
        <v>Illinois</v>
      </c>
      <c r="D27" s="150" t="str">
        <f t="shared" ca="1" si="5"/>
        <v>Illinois-Total</v>
      </c>
      <c r="E27" s="89">
        <f ca="1">IF(ISNA($A27),"",IFERROR(SUMIFS(D_D[INV],D_D[MT],5,D_D[CAT],SMS, D_D[EP],499,D_D[LOC],$A27),0))</f>
        <v>8122</v>
      </c>
      <c r="F27" s="89">
        <f ca="1">IF(ISNA($A27),"",IFERROR(SUMIFS(D_D[BL],D_D[MT],5,D_D[CAT],SMS, D_D[EP],499,D_D[LOC],$A27),0))</f>
        <v>1991</v>
      </c>
      <c r="G27" s="91">
        <f t="shared" ca="1" si="6"/>
        <v>0.24513666584585078</v>
      </c>
      <c r="H27" s="91">
        <f ca="1">IF(ISNA($A27),"",IFERROR(SUMIFS(D_D[DEV],D_D[MT],5,D_D[CAT],SMS, D_D[EP],499,D_D[LOC],$A27)/$E27,0))</f>
        <v>7.8552080768283669E-2</v>
      </c>
      <c r="I27" s="91">
        <f ca="1">IF(ISNA($A27),"",IFERROR(SUMIFS(D_D[EVD],D_D[MT],5,D_D[CAT],SMS, D_D[EP],499,D_D[LOC],$A27)/$E27,0))</f>
        <v>0.62829352376262004</v>
      </c>
      <c r="J27" s="91">
        <f ca="1">IF(ISNA($A27),"",IFERROR(SUMIFS(D_D[DEC],D_D[MT],5,D_D[CAT],SMS, D_D[EP],499,D_D[LOC],$A27)/$E27,0))</f>
        <v>0.2200196995813839</v>
      </c>
      <c r="K27" s="91">
        <f ca="1">IF(ISNA($A27),"",IFERROR(SUMIFS(D_D[AWD],D_D[MT],5,D_D[CAT],SMS, D_D[EP],499,D_D[LOC],$A27)/$E27,0))</f>
        <v>6.1684314208323071E-2</v>
      </c>
      <c r="L27" s="91">
        <f ca="1">IF(ISNA($A27),"",IFERROR(SUMIFS(D_D[AUT],D_D[MT],5,D_D[CAT],SMS, D_D[EP],499,D_D[LOC],$A27)/$E27,0))</f>
        <v>1.1450381679389313E-2</v>
      </c>
      <c r="M27" s="6"/>
    </row>
    <row r="28" spans="1:13" ht="12.75" x14ac:dyDescent="0.2">
      <c r="A28" s="143" t="str">
        <f t="shared" ca="1" si="4"/>
        <v>IL328</v>
      </c>
      <c r="B28" s="23">
        <v>15</v>
      </c>
      <c r="C28" s="151">
        <f t="shared" ca="1" si="1"/>
        <v>0</v>
      </c>
      <c r="D28" s="150" t="str">
        <f t="shared" ref="D28:D48" ca="1" si="7">IFERROR(INDEX(INDIRECT(DS_NWQD),B28),"")</f>
        <v>Chicago RO</v>
      </c>
      <c r="E28" s="89">
        <f ca="1">IF(ISNA($A28),"",IFERROR(SUMIFS(D_D[INV],D_D[MT],5,D_D[CAT],SMS, D_D[EP],499,D_D[LOC],$A28),0))</f>
        <v>360</v>
      </c>
      <c r="F28" s="89">
        <f ca="1">IF(ISNA($A28),"",IFERROR(SUMIFS(D_D[BL],D_D[MT],5,D_D[CAT],SMS, D_D[EP],499,D_D[LOC],$A28),0))</f>
        <v>91</v>
      </c>
      <c r="G28" s="91">
        <f t="shared" ref="G28:G48" ca="1" si="8">IF(ISNA($A28),"",IFERROR(F28/E28,0))</f>
        <v>0.25277777777777777</v>
      </c>
      <c r="H28" s="91">
        <f ca="1">IF(ISNA($A28),"",IFERROR(SUMIFS(D_D[DEV],D_D[MT],5,D_D[CAT],SMS, D_D[EP],499,D_D[LOC],$A28)/$E28,0))</f>
        <v>0.14444444444444443</v>
      </c>
      <c r="I28" s="91">
        <f ca="1">IF(ISNA($A28),"",IFERROR(SUMIFS(D_D[EVD],D_D[MT],5,D_D[CAT],SMS, D_D[EP],499,D_D[LOC],$A28)/$E28,0))</f>
        <v>0.64444444444444449</v>
      </c>
      <c r="J28" s="91">
        <f ca="1">IF(ISNA($A28),"",IFERROR(SUMIFS(D_D[DEC],D_D[MT],5,D_D[CAT],SMS, D_D[EP],499,D_D[LOC],$A28)/$E28,0))</f>
        <v>0.1388888888888889</v>
      </c>
      <c r="K28" s="91">
        <f ca="1">IF(ISNA($A28),"",IFERROR(SUMIFS(D_D[AWD],D_D[MT],5,D_D[CAT],SMS, D_D[EP],499,D_D[LOC],$A28)/$E28,0))</f>
        <v>5.2777777777777778E-2</v>
      </c>
      <c r="L28" s="91">
        <f ca="1">IF(ISNA($A28),"",IFERROR(SUMIFS(D_D[AUT],D_D[MT],5,D_D[CAT],SMS, D_D[EP],499,D_D[LOC],$A28)/$E28,0))</f>
        <v>1.9444444444444445E-2</v>
      </c>
      <c r="M28" s="6"/>
    </row>
    <row r="29" spans="1:13" ht="12.75" x14ac:dyDescent="0.2">
      <c r="A29" s="143" t="str">
        <f t="shared" ca="1" si="4"/>
        <v>IL-1</v>
      </c>
      <c r="B29" s="23">
        <v>16</v>
      </c>
      <c r="C29" s="151" t="str">
        <f t="shared" ca="1" si="1"/>
        <v xml:space="preserve"> </v>
      </c>
      <c r="D29" s="150" t="str">
        <f t="shared" ca="1" si="7"/>
        <v>Illinois-Other RO</v>
      </c>
      <c r="E29" s="89">
        <f ca="1">IF(ISNA($A29),"",IFERROR(SUMIFS(D_D[INV],D_D[MT],5,D_D[CAT],SMS, D_D[EP],499,D_D[LOC],$A29),0))</f>
        <v>2161</v>
      </c>
      <c r="F29" s="89">
        <f ca="1">IF(ISNA($A29),"",IFERROR(SUMIFS(D_D[BL],D_D[MT],5,D_D[CAT],SMS, D_D[EP],499,D_D[LOC],$A29),0))</f>
        <v>759</v>
      </c>
      <c r="G29" s="91">
        <f t="shared" ca="1" si="8"/>
        <v>0.35122628412771867</v>
      </c>
      <c r="H29" s="91">
        <f ca="1">IF(ISNA($A29),"",IFERROR(SUMIFS(D_D[DEV],D_D[MT],5,D_D[CAT],SMS, D_D[EP],499,D_D[LOC],$A29)/$E29,0))</f>
        <v>0.15548357242017585</v>
      </c>
      <c r="I29" s="91">
        <f ca="1">IF(ISNA($A29),"",IFERROR(SUMIFS(D_D[EVD],D_D[MT],5,D_D[CAT],SMS, D_D[EP],499,D_D[LOC],$A29)/$E29,0))</f>
        <v>0.48958815363257752</v>
      </c>
      <c r="J29" s="91">
        <f ca="1">IF(ISNA($A29),"",IFERROR(SUMIFS(D_D[DEC],D_D[MT],5,D_D[CAT],SMS, D_D[EP],499,D_D[LOC],$A29)/$E29,0))</f>
        <v>0.14715409532623785</v>
      </c>
      <c r="K29" s="91">
        <f ca="1">IF(ISNA($A29),"",IFERROR(SUMIFS(D_D[AWD],D_D[MT],5,D_D[CAT],SMS, D_D[EP],499,D_D[LOC],$A29)/$E29,0))</f>
        <v>0.16797778806108282</v>
      </c>
      <c r="L29" s="91">
        <f ca="1">IF(ISNA($A29),"",IFERROR(SUMIFS(D_D[AUT],D_D[MT],5,D_D[CAT],SMS, D_D[EP],499,D_D[LOC],$A29)/$E29,0))</f>
        <v>3.9796390559925961E-2</v>
      </c>
      <c r="M29" s="6"/>
    </row>
    <row r="30" spans="1:13" ht="12.75" x14ac:dyDescent="0.2">
      <c r="A30" s="143" t="str">
        <f t="shared" ca="1" si="4"/>
        <v>IL499</v>
      </c>
      <c r="B30" s="23">
        <v>17</v>
      </c>
      <c r="C30" s="151" t="str">
        <f t="shared" ca="1" si="1"/>
        <v xml:space="preserve"> </v>
      </c>
      <c r="D30" s="150" t="str">
        <f t="shared" ca="1" si="7"/>
        <v>Illinois-NWQ</v>
      </c>
      <c r="E30" s="89">
        <f ca="1">IF(ISNA($A30),"",IFERROR(SUMIFS(D_D[INV],D_D[MT],5,D_D[CAT],SMS, D_D[EP],499,D_D[LOC],$A30),0))</f>
        <v>5601</v>
      </c>
      <c r="F30" s="89">
        <f ca="1">IF(ISNA($A30),"",IFERROR(SUMIFS(D_D[BL],D_D[MT],5,D_D[CAT],SMS, D_D[EP],499,D_D[LOC],$A30),0))</f>
        <v>1141</v>
      </c>
      <c r="G30" s="91">
        <f t="shared" ca="1" si="8"/>
        <v>0.20371362256739867</v>
      </c>
      <c r="H30" s="91">
        <f ca="1">IF(ISNA($A30),"",IFERROR(SUMIFS(D_D[DEV],D_D[MT],5,D_D[CAT],SMS, D_D[EP],499,D_D[LOC],$A30)/$E30,0))</f>
        <v>4.4634886627387967E-2</v>
      </c>
      <c r="I30" s="91">
        <f ca="1">IF(ISNA($A30),"",IFERROR(SUMIFS(D_D[EVD],D_D[MT],5,D_D[CAT],SMS, D_D[EP],499,D_D[LOC],$A30)/$E30,0))</f>
        <v>0.68077129084092125</v>
      </c>
      <c r="J30" s="91">
        <f ca="1">IF(ISNA($A30),"",IFERROR(SUMIFS(D_D[DEC],D_D[MT],5,D_D[CAT],SMS, D_D[EP],499,D_D[LOC],$A30)/$E30,0))</f>
        <v>0.25334761649705412</v>
      </c>
      <c r="K30" s="91">
        <f ca="1">IF(ISNA($A30),"",IFERROR(SUMIFS(D_D[AWD],D_D[MT],5,D_D[CAT],SMS, D_D[EP],499,D_D[LOC],$A30)/$E30,0))</f>
        <v>2.1246206034636672E-2</v>
      </c>
      <c r="L30" s="91">
        <f ca="1">IF(ISNA($A30),"",IFERROR(SUMIFS(D_D[AUT],D_D[MT],5,D_D[CAT],SMS, D_D[EP],499,D_D[LOC],$A30)/$E30,0))</f>
        <v>0</v>
      </c>
      <c r="M30" s="6"/>
    </row>
    <row r="31" spans="1:13" ht="12.75" x14ac:dyDescent="0.2">
      <c r="A31" s="143" t="str">
        <f t="shared" ca="1" si="4"/>
        <v>IN100</v>
      </c>
      <c r="B31" s="23">
        <v>18</v>
      </c>
      <c r="C31" s="151" t="str">
        <f t="shared" ca="1" si="1"/>
        <v>Indiana</v>
      </c>
      <c r="D31" s="150" t="str">
        <f t="shared" ca="1" si="7"/>
        <v>Indiana-Total</v>
      </c>
      <c r="E31" s="89">
        <f ca="1">IF(ISNA($A31),"",IFERROR(SUMIFS(D_D[INV],D_D[MT],5,D_D[CAT],SMS, D_D[EP],499,D_D[LOC],$A31),0))</f>
        <v>6091</v>
      </c>
      <c r="F31" s="89">
        <f ca="1">IF(ISNA($A31),"",IFERROR(SUMIFS(D_D[BL],D_D[MT],5,D_D[CAT],SMS, D_D[EP],499,D_D[LOC],$A31),0))</f>
        <v>1312</v>
      </c>
      <c r="G31" s="91">
        <f t="shared" ca="1" si="8"/>
        <v>0.2153997701526843</v>
      </c>
      <c r="H31" s="91">
        <f ca="1">IF(ISNA($A31),"",IFERROR(SUMIFS(D_D[DEV],D_D[MT],5,D_D[CAT],SMS, D_D[EP],499,D_D[LOC],$A31)/$E31,0))</f>
        <v>8.356591692661304E-2</v>
      </c>
      <c r="I31" s="91">
        <f ca="1">IF(ISNA($A31),"",IFERROR(SUMIFS(D_D[EVD],D_D[MT],5,D_D[CAT],SMS, D_D[EP],499,D_D[LOC],$A31)/$E31,0))</f>
        <v>0.66721392218026598</v>
      </c>
      <c r="J31" s="91">
        <f ca="1">IF(ISNA($A31),"",IFERROR(SUMIFS(D_D[DEC],D_D[MT],5,D_D[CAT],SMS, D_D[EP],499,D_D[LOC],$A31)/$E31,0))</f>
        <v>0.19651945493350845</v>
      </c>
      <c r="K31" s="91">
        <f ca="1">IF(ISNA($A31),"",IFERROR(SUMIFS(D_D[AWD],D_D[MT],5,D_D[CAT],SMS, D_D[EP],499,D_D[LOC],$A31)/$E31,0))</f>
        <v>4.5148579871942207E-2</v>
      </c>
      <c r="L31" s="91">
        <f ca="1">IF(ISNA($A31),"",IFERROR(SUMIFS(D_D[AUT],D_D[MT],5,D_D[CAT],SMS, D_D[EP],499,D_D[LOC],$A31)/$E31,0))</f>
        <v>7.552126087670333E-3</v>
      </c>
      <c r="M31" s="6"/>
    </row>
    <row r="32" spans="1:13" ht="12.75" x14ac:dyDescent="0.2">
      <c r="A32" s="143" t="str">
        <f t="shared" ca="1" si="4"/>
        <v>IN326</v>
      </c>
      <c r="B32" s="23">
        <v>19</v>
      </c>
      <c r="C32" s="151">
        <f t="shared" ca="1" si="1"/>
        <v>0</v>
      </c>
      <c r="D32" s="150" t="str">
        <f t="shared" ca="1" si="7"/>
        <v>Indianapolis RO</v>
      </c>
      <c r="E32" s="89">
        <f ca="1">IF(ISNA($A32),"",IFERROR(SUMIFS(D_D[INV],D_D[MT],5,D_D[CAT],SMS, D_D[EP],499,D_D[LOC],$A32),0))</f>
        <v>209</v>
      </c>
      <c r="F32" s="89">
        <f ca="1">IF(ISNA($A32),"",IFERROR(SUMIFS(D_D[BL],D_D[MT],5,D_D[CAT],SMS, D_D[EP],499,D_D[LOC],$A32),0))</f>
        <v>20</v>
      </c>
      <c r="G32" s="91">
        <f t="shared" ca="1" si="8"/>
        <v>9.569377990430622E-2</v>
      </c>
      <c r="H32" s="91">
        <f ca="1">IF(ISNA($A32),"",IFERROR(SUMIFS(D_D[DEV],D_D[MT],5,D_D[CAT],SMS, D_D[EP],499,D_D[LOC],$A32)/$E32,0))</f>
        <v>0.23444976076555024</v>
      </c>
      <c r="I32" s="91">
        <f ca="1">IF(ISNA($A32),"",IFERROR(SUMIFS(D_D[EVD],D_D[MT],5,D_D[CAT],SMS, D_D[EP],499,D_D[LOC],$A32)/$E32,0))</f>
        <v>0.69377990430622005</v>
      </c>
      <c r="J32" s="91">
        <f ca="1">IF(ISNA($A32),"",IFERROR(SUMIFS(D_D[DEC],D_D[MT],5,D_D[CAT],SMS, D_D[EP],499,D_D[LOC],$A32)/$E32,0))</f>
        <v>4.3062200956937802E-2</v>
      </c>
      <c r="K32" s="91">
        <f ca="1">IF(ISNA($A32),"",IFERROR(SUMIFS(D_D[AWD],D_D[MT],5,D_D[CAT],SMS, D_D[EP],499,D_D[LOC],$A32)/$E32,0))</f>
        <v>2.3923444976076555E-2</v>
      </c>
      <c r="L32" s="91">
        <f ca="1">IF(ISNA($A32),"",IFERROR(SUMIFS(D_D[AUT],D_D[MT],5,D_D[CAT],SMS, D_D[EP],499,D_D[LOC],$A32)/$E32,0))</f>
        <v>4.7846889952153108E-3</v>
      </c>
      <c r="M32" s="6"/>
    </row>
    <row r="33" spans="1:13" ht="12.75" x14ac:dyDescent="0.2">
      <c r="A33" s="143" t="str">
        <f t="shared" ca="1" si="4"/>
        <v>IN-1</v>
      </c>
      <c r="B33" s="23">
        <v>20</v>
      </c>
      <c r="C33" s="151" t="str">
        <f t="shared" ca="1" si="1"/>
        <v xml:space="preserve"> </v>
      </c>
      <c r="D33" s="150" t="str">
        <f t="shared" ca="1" si="7"/>
        <v>Indiana-Other RO</v>
      </c>
      <c r="E33" s="89">
        <f ca="1">IF(ISNA($A33),"",IFERROR(SUMIFS(D_D[INV],D_D[MT],5,D_D[CAT],SMS, D_D[EP],499,D_D[LOC],$A33),0))</f>
        <v>1575</v>
      </c>
      <c r="F33" s="89">
        <f ca="1">IF(ISNA($A33),"",IFERROR(SUMIFS(D_D[BL],D_D[MT],5,D_D[CAT],SMS, D_D[EP],499,D_D[LOC],$A33),0))</f>
        <v>524</v>
      </c>
      <c r="G33" s="91">
        <f t="shared" ca="1" si="8"/>
        <v>0.33269841269841272</v>
      </c>
      <c r="H33" s="91">
        <f ca="1">IF(ISNA($A33),"",IFERROR(SUMIFS(D_D[DEV],D_D[MT],5,D_D[CAT],SMS, D_D[EP],499,D_D[LOC],$A33)/$E33,0))</f>
        <v>0.1657142857142857</v>
      </c>
      <c r="I33" s="91">
        <f ca="1">IF(ISNA($A33),"",IFERROR(SUMIFS(D_D[EVD],D_D[MT],5,D_D[CAT],SMS, D_D[EP],499,D_D[LOC],$A33)/$E33,0))</f>
        <v>0.53714285714285714</v>
      </c>
      <c r="J33" s="91">
        <f ca="1">IF(ISNA($A33),"",IFERROR(SUMIFS(D_D[DEC],D_D[MT],5,D_D[CAT],SMS, D_D[EP],499,D_D[LOC],$A33)/$E33,0))</f>
        <v>0.14793650793650795</v>
      </c>
      <c r="K33" s="91">
        <f ca="1">IF(ISNA($A33),"",IFERROR(SUMIFS(D_D[AWD],D_D[MT],5,D_D[CAT],SMS, D_D[EP],499,D_D[LOC],$A33)/$E33,0))</f>
        <v>0.12063492063492064</v>
      </c>
      <c r="L33" s="91">
        <f ca="1">IF(ISNA($A33),"",IFERROR(SUMIFS(D_D[AUT],D_D[MT],5,D_D[CAT],SMS, D_D[EP],499,D_D[LOC],$A33)/$E33,0))</f>
        <v>2.8571428571428571E-2</v>
      </c>
      <c r="M33" s="6"/>
    </row>
    <row r="34" spans="1:13" ht="12.75" x14ac:dyDescent="0.2">
      <c r="A34" s="143" t="str">
        <f t="shared" ca="1" si="4"/>
        <v>IN499</v>
      </c>
      <c r="B34" s="23">
        <v>21</v>
      </c>
      <c r="C34" s="151" t="str">
        <f t="shared" ca="1" si="1"/>
        <v xml:space="preserve"> </v>
      </c>
      <c r="D34" s="150" t="str">
        <f t="shared" ca="1" si="7"/>
        <v>Indiana-NWQ</v>
      </c>
      <c r="E34" s="89">
        <f ca="1">IF(ISNA($A34),"",IFERROR(SUMIFS(D_D[INV],D_D[MT],5,D_D[CAT],SMS, D_D[EP],499,D_D[LOC],$A34),0))</f>
        <v>4307</v>
      </c>
      <c r="F34" s="89">
        <f ca="1">IF(ISNA($A34),"",IFERROR(SUMIFS(D_D[BL],D_D[MT],5,D_D[CAT],SMS, D_D[EP],499,D_D[LOC],$A34),0))</f>
        <v>768</v>
      </c>
      <c r="G34" s="91">
        <f t="shared" ca="1" si="8"/>
        <v>0.17831437195263525</v>
      </c>
      <c r="H34" s="91">
        <f ca="1">IF(ISNA($A34),"",IFERROR(SUMIFS(D_D[DEV],D_D[MT],5,D_D[CAT],SMS, D_D[EP],499,D_D[LOC],$A34)/$E34,0))</f>
        <v>4.6203854190852101E-2</v>
      </c>
      <c r="I34" s="91">
        <f ca="1">IF(ISNA($A34),"",IFERROR(SUMIFS(D_D[EVD],D_D[MT],5,D_D[CAT],SMS, D_D[EP],499,D_D[LOC],$A34)/$E34,0))</f>
        <v>0.71348966798235436</v>
      </c>
      <c r="J34" s="91">
        <f ca="1">IF(ISNA($A34),"",IFERROR(SUMIFS(D_D[DEC],D_D[MT],5,D_D[CAT],SMS, D_D[EP],499,D_D[LOC],$A34)/$E34,0))</f>
        <v>0.22173206408172741</v>
      </c>
      <c r="K34" s="91">
        <f ca="1">IF(ISNA($A34),"",IFERROR(SUMIFS(D_D[AWD],D_D[MT],5,D_D[CAT],SMS, D_D[EP],499,D_D[LOC],$A34)/$E34,0))</f>
        <v>1.857441374506617E-2</v>
      </c>
      <c r="L34" s="91">
        <f ca="1">IF(ISNA($A34),"",IFERROR(SUMIFS(D_D[AUT],D_D[MT],5,D_D[CAT],SMS, D_D[EP],499,D_D[LOC],$A34)/$E34,0))</f>
        <v>0</v>
      </c>
      <c r="M34" s="6"/>
    </row>
    <row r="35" spans="1:13" ht="12.75" x14ac:dyDescent="0.2">
      <c r="A35" s="143" t="str">
        <f t="shared" ca="1" si="4"/>
        <v>ME100</v>
      </c>
      <c r="B35" s="23">
        <v>22</v>
      </c>
      <c r="C35" s="151" t="str">
        <f t="shared" ca="1" si="1"/>
        <v>Maine</v>
      </c>
      <c r="D35" s="150" t="str">
        <f t="shared" ca="1" si="7"/>
        <v>Maine-Total</v>
      </c>
      <c r="E35" s="89">
        <f ca="1">IF(ISNA($A35),"",IFERROR(SUMIFS(D_D[INV],D_D[MT],5,D_D[CAT],SMS, D_D[EP],499,D_D[LOC],$A35),0))</f>
        <v>1383</v>
      </c>
      <c r="F35" s="89">
        <f ca="1">IF(ISNA($A35),"",IFERROR(SUMIFS(D_D[BL],D_D[MT],5,D_D[CAT],SMS, D_D[EP],499,D_D[LOC],$A35),0))</f>
        <v>308</v>
      </c>
      <c r="G35" s="91">
        <f t="shared" ca="1" si="8"/>
        <v>0.22270426608821403</v>
      </c>
      <c r="H35" s="91">
        <f ca="1">IF(ISNA($A35),"",IFERROR(SUMIFS(D_D[DEV],D_D[MT],5,D_D[CAT],SMS, D_D[EP],499,D_D[LOC],$A35)/$E35,0))</f>
        <v>6.0737527114967459E-2</v>
      </c>
      <c r="I35" s="91">
        <f ca="1">IF(ISNA($A35),"",IFERROR(SUMIFS(D_D[EVD],D_D[MT],5,D_D[CAT],SMS, D_D[EP],499,D_D[LOC],$A35)/$E35,0))</f>
        <v>0.62617498192335508</v>
      </c>
      <c r="J35" s="91">
        <f ca="1">IF(ISNA($A35),"",IFERROR(SUMIFS(D_D[DEC],D_D[MT],5,D_D[CAT],SMS, D_D[EP],499,D_D[LOC],$A35)/$E35,0))</f>
        <v>0.23427331887201736</v>
      </c>
      <c r="K35" s="91">
        <f ca="1">IF(ISNA($A35),"",IFERROR(SUMIFS(D_D[AWD],D_D[MT],5,D_D[CAT],SMS, D_D[EP],499,D_D[LOC],$A35)/$E35,0))</f>
        <v>6.5075921908893705E-2</v>
      </c>
      <c r="L35" s="91">
        <f ca="1">IF(ISNA($A35),"",IFERROR(SUMIFS(D_D[AUT],D_D[MT],5,D_D[CAT],SMS, D_D[EP],499,D_D[LOC],$A35)/$E35,0))</f>
        <v>1.3738250180766449E-2</v>
      </c>
      <c r="M35" s="6"/>
    </row>
    <row r="36" spans="1:13" ht="12.75" x14ac:dyDescent="0.2">
      <c r="A36" s="143" t="str">
        <f t="shared" ca="1" si="4"/>
        <v>ME402</v>
      </c>
      <c r="B36" s="23">
        <v>23</v>
      </c>
      <c r="C36" s="151">
        <f t="shared" ca="1" si="1"/>
        <v>0</v>
      </c>
      <c r="D36" s="150" t="str">
        <f t="shared" ca="1" si="7"/>
        <v>Togus RO</v>
      </c>
      <c r="E36" s="89">
        <f ca="1">IF(ISNA($A36),"",IFERROR(SUMIFS(D_D[INV],D_D[MT],5,D_D[CAT],SMS, D_D[EP],499,D_D[LOC],$A36),0))</f>
        <v>119</v>
      </c>
      <c r="F36" s="89">
        <f ca="1">IF(ISNA($A36),"",IFERROR(SUMIFS(D_D[BL],D_D[MT],5,D_D[CAT],SMS, D_D[EP],499,D_D[LOC],$A36),0))</f>
        <v>8</v>
      </c>
      <c r="G36" s="91">
        <f t="shared" ca="1" si="8"/>
        <v>6.7226890756302518E-2</v>
      </c>
      <c r="H36" s="91">
        <f ca="1">IF(ISNA($A36),"",IFERROR(SUMIFS(D_D[DEV],D_D[MT],5,D_D[CAT],SMS, D_D[EP],499,D_D[LOC],$A36)/$E36,0))</f>
        <v>0.2857142857142857</v>
      </c>
      <c r="I36" s="91">
        <f ca="1">IF(ISNA($A36),"",IFERROR(SUMIFS(D_D[EVD],D_D[MT],5,D_D[CAT],SMS, D_D[EP],499,D_D[LOC],$A36)/$E36,0))</f>
        <v>0.65546218487394958</v>
      </c>
      <c r="J36" s="91">
        <f ca="1">IF(ISNA($A36),"",IFERROR(SUMIFS(D_D[DEC],D_D[MT],5,D_D[CAT],SMS, D_D[EP],499,D_D[LOC],$A36)/$E36,0))</f>
        <v>3.3613445378151259E-2</v>
      </c>
      <c r="K36" s="91">
        <f ca="1">IF(ISNA($A36),"",IFERROR(SUMIFS(D_D[AWD],D_D[MT],5,D_D[CAT],SMS, D_D[EP],499,D_D[LOC],$A36)/$E36,0))</f>
        <v>8.4033613445378148E-3</v>
      </c>
      <c r="L36" s="91">
        <f ca="1">IF(ISNA($A36),"",IFERROR(SUMIFS(D_D[AUT],D_D[MT],5,D_D[CAT],SMS, D_D[EP],499,D_D[LOC],$A36)/$E36,0))</f>
        <v>1.680672268907563E-2</v>
      </c>
      <c r="M36" s="6"/>
    </row>
    <row r="37" spans="1:13" ht="12.75" x14ac:dyDescent="0.2">
      <c r="A37" s="143" t="str">
        <f t="shared" ca="1" si="4"/>
        <v>ME-1</v>
      </c>
      <c r="B37" s="23">
        <v>24</v>
      </c>
      <c r="C37" s="151">
        <f t="shared" ca="1" si="1"/>
        <v>0</v>
      </c>
      <c r="D37" s="150" t="str">
        <f t="shared" ca="1" si="7"/>
        <v>Maine-Other RO</v>
      </c>
      <c r="E37" s="89">
        <f ca="1">IF(ISNA($A37),"",IFERROR(SUMIFS(D_D[INV],D_D[MT],5,D_D[CAT],SMS, D_D[EP],499,D_D[LOC],$A37),0))</f>
        <v>319</v>
      </c>
      <c r="F37" s="89">
        <f ca="1">IF(ISNA($A37),"",IFERROR(SUMIFS(D_D[BL],D_D[MT],5,D_D[CAT],SMS, D_D[EP],499,D_D[LOC],$A37),0))</f>
        <v>116</v>
      </c>
      <c r="G37" s="91">
        <f t="shared" ca="1" si="8"/>
        <v>0.36363636363636365</v>
      </c>
      <c r="H37" s="91">
        <f ca="1">IF(ISNA($A37),"",IFERROR(SUMIFS(D_D[DEV],D_D[MT],5,D_D[CAT],SMS, D_D[EP],499,D_D[LOC],$A37)/$E37,0))</f>
        <v>0.10031347962382445</v>
      </c>
      <c r="I37" s="91">
        <f ca="1">IF(ISNA($A37),"",IFERROR(SUMIFS(D_D[EVD],D_D[MT],5,D_D[CAT],SMS, D_D[EP],499,D_D[LOC],$A37)/$E37,0))</f>
        <v>0.48275862068965519</v>
      </c>
      <c r="J37" s="91">
        <f ca="1">IF(ISNA($A37),"",IFERROR(SUMIFS(D_D[DEC],D_D[MT],5,D_D[CAT],SMS, D_D[EP],499,D_D[LOC],$A37)/$E37,0))</f>
        <v>0.17241379310344829</v>
      </c>
      <c r="K37" s="91">
        <f ca="1">IF(ISNA($A37),"",IFERROR(SUMIFS(D_D[AWD],D_D[MT],5,D_D[CAT],SMS, D_D[EP],499,D_D[LOC],$A37)/$E37,0))</f>
        <v>0.19122257053291536</v>
      </c>
      <c r="L37" s="91">
        <f ca="1">IF(ISNA($A37),"",IFERROR(SUMIFS(D_D[AUT],D_D[MT],5,D_D[CAT],SMS, D_D[EP],499,D_D[LOC],$A37)/$E37,0))</f>
        <v>5.329153605015674E-2</v>
      </c>
      <c r="M37" s="6"/>
    </row>
    <row r="38" spans="1:13" ht="12.75" x14ac:dyDescent="0.2">
      <c r="A38" s="143" t="str">
        <f t="shared" ca="1" si="4"/>
        <v>ME499</v>
      </c>
      <c r="B38" s="23">
        <v>25</v>
      </c>
      <c r="C38" s="151">
        <f t="shared" ca="1" si="1"/>
        <v>0</v>
      </c>
      <c r="D38" s="150" t="str">
        <f t="shared" ca="1" si="7"/>
        <v>Maine-NWQ</v>
      </c>
      <c r="E38" s="89">
        <f ca="1">IF(ISNA($A38),"",IFERROR(SUMIFS(D_D[INV],D_D[MT],5,D_D[CAT],SMS, D_D[EP],499,D_D[LOC],$A38),0))</f>
        <v>945</v>
      </c>
      <c r="F38" s="89">
        <f ca="1">IF(ISNA($A38),"",IFERROR(SUMIFS(D_D[BL],D_D[MT],5,D_D[CAT],SMS, D_D[EP],499,D_D[LOC],$A38),0))</f>
        <v>184</v>
      </c>
      <c r="G38" s="91">
        <f t="shared" ca="1" si="8"/>
        <v>0.19470899470899472</v>
      </c>
      <c r="H38" s="91">
        <f ca="1">IF(ISNA($A38),"",IFERROR(SUMIFS(D_D[DEV],D_D[MT],5,D_D[CAT],SMS, D_D[EP],499,D_D[LOC],$A38)/$E38,0))</f>
        <v>1.9047619047619049E-2</v>
      </c>
      <c r="I38" s="91">
        <f ca="1">IF(ISNA($A38),"",IFERROR(SUMIFS(D_D[EVD],D_D[MT],5,D_D[CAT],SMS, D_D[EP],499,D_D[LOC],$A38)/$E38,0))</f>
        <v>0.67089947089947088</v>
      </c>
      <c r="J38" s="91">
        <f ca="1">IF(ISNA($A38),"",IFERROR(SUMIFS(D_D[DEC],D_D[MT],5,D_D[CAT],SMS, D_D[EP],499,D_D[LOC],$A38)/$E38,0))</f>
        <v>0.28042328042328041</v>
      </c>
      <c r="K38" s="91">
        <f ca="1">IF(ISNA($A38),"",IFERROR(SUMIFS(D_D[AWD],D_D[MT],5,D_D[CAT],SMS, D_D[EP],499,D_D[LOC],$A38)/$E38,0))</f>
        <v>2.9629629629629631E-2</v>
      </c>
      <c r="L38" s="91">
        <f ca="1">IF(ISNA($A38),"",IFERROR(SUMIFS(D_D[AUT],D_D[MT],5,D_D[CAT],SMS, D_D[EP],499,D_D[LOC],$A38)/$E38,0))</f>
        <v>0</v>
      </c>
      <c r="M38" s="6"/>
    </row>
    <row r="39" spans="1:13" ht="12.75" x14ac:dyDescent="0.2">
      <c r="A39" s="143" t="str">
        <f t="shared" ca="1" si="4"/>
        <v>MD100</v>
      </c>
      <c r="B39" s="23">
        <v>26</v>
      </c>
      <c r="C39" s="151" t="str">
        <f t="shared" ca="1" si="1"/>
        <v>Maryland</v>
      </c>
      <c r="D39" s="150" t="str">
        <f t="shared" ca="1" si="7"/>
        <v>Maryland-Total</v>
      </c>
      <c r="E39" s="89">
        <f ca="1">IF(ISNA($A39),"",IFERROR(SUMIFS(D_D[INV],D_D[MT],5,D_D[CAT],SMS, D_D[EP],499,D_D[LOC],$A39),0))</f>
        <v>7106</v>
      </c>
      <c r="F39" s="89">
        <f ca="1">IF(ISNA($A39),"",IFERROR(SUMIFS(D_D[BL],D_D[MT],5,D_D[CAT],SMS, D_D[EP],499,D_D[LOC],$A39),0))</f>
        <v>1744</v>
      </c>
      <c r="G39" s="91">
        <f t="shared" ca="1" si="8"/>
        <v>0.24542640022516182</v>
      </c>
      <c r="H39" s="91">
        <f ca="1">IF(ISNA($A39),"",IFERROR(SUMIFS(D_D[DEV],D_D[MT],5,D_D[CAT],SMS, D_D[EP],499,D_D[LOC],$A39)/$E39,0))</f>
        <v>5.8401350971010416E-2</v>
      </c>
      <c r="I39" s="91">
        <f ca="1">IF(ISNA($A39),"",IFERROR(SUMIFS(D_D[EVD],D_D[MT],5,D_D[CAT],SMS, D_D[EP],499,D_D[LOC],$A39)/$E39,0))</f>
        <v>0.62369828314100761</v>
      </c>
      <c r="J39" s="91">
        <f ca="1">IF(ISNA($A39),"",IFERROR(SUMIFS(D_D[DEC],D_D[MT],5,D_D[CAT],SMS, D_D[EP],499,D_D[LOC],$A39)/$E39,0))</f>
        <v>0.25612158739093721</v>
      </c>
      <c r="K39" s="91">
        <f ca="1">IF(ISNA($A39),"",IFERROR(SUMIFS(D_D[AWD],D_D[MT],5,D_D[CAT],SMS, D_D[EP],499,D_D[LOC],$A39)/$E39,0))</f>
        <v>5.2209400506614129E-2</v>
      </c>
      <c r="L39" s="91">
        <f ca="1">IF(ISNA($A39),"",IFERROR(SUMIFS(D_D[AUT],D_D[MT],5,D_D[CAT],SMS, D_D[EP],499,D_D[LOC],$A39)/$E39,0))</f>
        <v>9.5693779904306216E-3</v>
      </c>
      <c r="M39" s="6"/>
    </row>
    <row r="40" spans="1:13" ht="12.75" x14ac:dyDescent="0.2">
      <c r="A40" s="143" t="str">
        <f t="shared" ca="1" si="4"/>
        <v>MD313</v>
      </c>
      <c r="B40" s="23">
        <v>27</v>
      </c>
      <c r="C40" s="151">
        <f t="shared" ca="1" si="1"/>
        <v>0</v>
      </c>
      <c r="D40" s="150" t="str">
        <f t="shared" ca="1" si="7"/>
        <v>Baltimore RO</v>
      </c>
      <c r="E40" s="89">
        <f ca="1">IF(ISNA($A40),"",IFERROR(SUMIFS(D_D[INV],D_D[MT],5,D_D[CAT],SMS, D_D[EP],499,D_D[LOC],$A40),0))</f>
        <v>328</v>
      </c>
      <c r="F40" s="89">
        <f ca="1">IF(ISNA($A40),"",IFERROR(SUMIFS(D_D[BL],D_D[MT],5,D_D[CAT],SMS, D_D[EP],499,D_D[LOC],$A40),0))</f>
        <v>77</v>
      </c>
      <c r="G40" s="91">
        <f t="shared" ca="1" si="8"/>
        <v>0.2347560975609756</v>
      </c>
      <c r="H40" s="91">
        <f ca="1">IF(ISNA($A40),"",IFERROR(SUMIFS(D_D[DEV],D_D[MT],5,D_D[CAT],SMS, D_D[EP],499,D_D[LOC],$A40)/$E40,0))</f>
        <v>0.19817073170731708</v>
      </c>
      <c r="I40" s="91">
        <f ca="1">IF(ISNA($A40),"",IFERROR(SUMIFS(D_D[EVD],D_D[MT],5,D_D[CAT],SMS, D_D[EP],499,D_D[LOC],$A40)/$E40,0))</f>
        <v>0.57012195121951215</v>
      </c>
      <c r="J40" s="91">
        <f ca="1">IF(ISNA($A40),"",IFERROR(SUMIFS(D_D[DEC],D_D[MT],5,D_D[CAT],SMS, D_D[EP],499,D_D[LOC],$A40)/$E40,0))</f>
        <v>9.1463414634146339E-2</v>
      </c>
      <c r="K40" s="91">
        <f ca="1">IF(ISNA($A40),"",IFERROR(SUMIFS(D_D[AWD],D_D[MT],5,D_D[CAT],SMS, D_D[EP],499,D_D[LOC],$A40)/$E40,0))</f>
        <v>0.11585365853658537</v>
      </c>
      <c r="L40" s="91">
        <f ca="1">IF(ISNA($A40),"",IFERROR(SUMIFS(D_D[AUT],D_D[MT],5,D_D[CAT],SMS, D_D[EP],499,D_D[LOC],$A40)/$E40,0))</f>
        <v>2.4390243902439025E-2</v>
      </c>
      <c r="M40" s="6"/>
    </row>
    <row r="41" spans="1:13" ht="12.75" x14ac:dyDescent="0.2">
      <c r="A41" s="143" t="str">
        <f t="shared" ca="1" si="4"/>
        <v>MD-1</v>
      </c>
      <c r="B41" s="23">
        <v>28</v>
      </c>
      <c r="C41" s="151">
        <f t="shared" ca="1" si="1"/>
        <v>0</v>
      </c>
      <c r="D41" s="150" t="str">
        <f t="shared" ca="1" si="7"/>
        <v>Maryland-Other RO</v>
      </c>
      <c r="E41" s="89">
        <f ca="1">IF(ISNA($A41),"",IFERROR(SUMIFS(D_D[INV],D_D[MT],5,D_D[CAT],SMS, D_D[EP],499,D_D[LOC],$A41),0))</f>
        <v>2107</v>
      </c>
      <c r="F41" s="89">
        <f ca="1">IF(ISNA($A41),"",IFERROR(SUMIFS(D_D[BL],D_D[MT],5,D_D[CAT],SMS, D_D[EP],499,D_D[LOC],$A41),0))</f>
        <v>706</v>
      </c>
      <c r="G41" s="91">
        <f t="shared" ca="1" si="8"/>
        <v>0.33507356430944468</v>
      </c>
      <c r="H41" s="91">
        <f ca="1">IF(ISNA($A41),"",IFERROR(SUMIFS(D_D[DEV],D_D[MT],5,D_D[CAT],SMS, D_D[EP],499,D_D[LOC],$A41)/$E41,0))</f>
        <v>0.11532985287138112</v>
      </c>
      <c r="I41" s="91">
        <f ca="1">IF(ISNA($A41),"",IFERROR(SUMIFS(D_D[EVD],D_D[MT],5,D_D[CAT],SMS, D_D[EP],499,D_D[LOC],$A41)/$E41,0))</f>
        <v>0.56336022781205508</v>
      </c>
      <c r="J41" s="91">
        <f ca="1">IF(ISNA($A41),"",IFERROR(SUMIFS(D_D[DEC],D_D[MT],5,D_D[CAT],SMS, D_D[EP],499,D_D[LOC],$A41)/$E41,0))</f>
        <v>0.16753678215472234</v>
      </c>
      <c r="K41" s="91">
        <f ca="1">IF(ISNA($A41),"",IFERROR(SUMIFS(D_D[AWD],D_D[MT],5,D_D[CAT],SMS, D_D[EP],499,D_D[LOC],$A41)/$E41,0))</f>
        <v>0.12529663028001897</v>
      </c>
      <c r="L41" s="91">
        <f ca="1">IF(ISNA($A41),"",IFERROR(SUMIFS(D_D[AUT],D_D[MT],5,D_D[CAT],SMS, D_D[EP],499,D_D[LOC],$A41)/$E41,0))</f>
        <v>2.8476506881822496E-2</v>
      </c>
      <c r="M41" s="6"/>
    </row>
    <row r="42" spans="1:13" ht="12.75" x14ac:dyDescent="0.2">
      <c r="A42" s="143" t="str">
        <f t="shared" ca="1" si="4"/>
        <v>MD499</v>
      </c>
      <c r="B42" s="23">
        <v>29</v>
      </c>
      <c r="C42" s="151">
        <f t="shared" ca="1" si="1"/>
        <v>0</v>
      </c>
      <c r="D42" s="150" t="str">
        <f t="shared" ca="1" si="7"/>
        <v>Maryland-NWQ</v>
      </c>
      <c r="E42" s="89">
        <f ca="1">IF(ISNA($A42),"",IFERROR(SUMIFS(D_D[INV],D_D[MT],5,D_D[CAT],SMS, D_D[EP],499,D_D[LOC],$A42),0))</f>
        <v>4671</v>
      </c>
      <c r="F42" s="89">
        <f ca="1">IF(ISNA($A42),"",IFERROR(SUMIFS(D_D[BL],D_D[MT],5,D_D[CAT],SMS, D_D[EP],499,D_D[LOC],$A42),0))</f>
        <v>961</v>
      </c>
      <c r="G42" s="91">
        <f t="shared" ca="1" si="8"/>
        <v>0.20573752943695139</v>
      </c>
      <c r="H42" s="91">
        <f ca="1">IF(ISNA($A42),"",IFERROR(SUMIFS(D_D[DEV],D_D[MT],5,D_D[CAT],SMS, D_D[EP],499,D_D[LOC],$A42)/$E42,0))</f>
        <v>2.2907300363947763E-2</v>
      </c>
      <c r="I42" s="91">
        <f ca="1">IF(ISNA($A42),"",IFERROR(SUMIFS(D_D[EVD],D_D[MT],5,D_D[CAT],SMS, D_D[EP],499,D_D[LOC],$A42)/$E42,0))</f>
        <v>0.65467779918646973</v>
      </c>
      <c r="J42" s="91">
        <f ca="1">IF(ISNA($A42),"",IFERROR(SUMIFS(D_D[DEC],D_D[MT],5,D_D[CAT],SMS, D_D[EP],499,D_D[LOC],$A42)/$E42,0))</f>
        <v>0.30764290301862557</v>
      </c>
      <c r="K42" s="91">
        <f ca="1">IF(ISNA($A42),"",IFERROR(SUMIFS(D_D[AWD],D_D[MT],5,D_D[CAT],SMS, D_D[EP],499,D_D[LOC],$A42)/$E42,0))</f>
        <v>1.4771997430956968E-2</v>
      </c>
      <c r="L42" s="91">
        <f ca="1">IF(ISNA($A42),"",IFERROR(SUMIFS(D_D[AUT],D_D[MT],5,D_D[CAT],SMS, D_D[EP],499,D_D[LOC],$A42)/$E42,0))</f>
        <v>0</v>
      </c>
      <c r="M42" s="6"/>
    </row>
    <row r="43" spans="1:13" ht="12.75" x14ac:dyDescent="0.2">
      <c r="A43" s="143" t="str">
        <f t="shared" ca="1" si="4"/>
        <v>MA100</v>
      </c>
      <c r="B43" s="23">
        <v>30</v>
      </c>
      <c r="C43" s="151" t="str">
        <f t="shared" ca="1" si="1"/>
        <v>Massachusetts</v>
      </c>
      <c r="D43" s="150" t="str">
        <f t="shared" ca="1" si="7"/>
        <v>Massachusetts-Total</v>
      </c>
      <c r="E43" s="89">
        <f ca="1">IF(ISNA($A43),"",IFERROR(SUMIFS(D_D[INV],D_D[MT],5,D_D[CAT],SMS, D_D[EP],499,D_D[LOC],$A43),0))</f>
        <v>3896</v>
      </c>
      <c r="F43" s="89">
        <f ca="1">IF(ISNA($A43),"",IFERROR(SUMIFS(D_D[BL],D_D[MT],5,D_D[CAT],SMS, D_D[EP],499,D_D[LOC],$A43),0))</f>
        <v>904</v>
      </c>
      <c r="G43" s="91">
        <f t="shared" ca="1" si="8"/>
        <v>0.23203285420944558</v>
      </c>
      <c r="H43" s="91">
        <f ca="1">IF(ISNA($A43),"",IFERROR(SUMIFS(D_D[DEV],D_D[MT],5,D_D[CAT],SMS, D_D[EP],499,D_D[LOC],$A43)/$E43,0))</f>
        <v>7.3408624229979472E-2</v>
      </c>
      <c r="I43" s="91">
        <f ca="1">IF(ISNA($A43),"",IFERROR(SUMIFS(D_D[EVD],D_D[MT],5,D_D[CAT],SMS, D_D[EP],499,D_D[LOC],$A43)/$E43,0))</f>
        <v>0.68968172484599588</v>
      </c>
      <c r="J43" s="91">
        <f ca="1">IF(ISNA($A43),"",IFERROR(SUMIFS(D_D[DEC],D_D[MT],5,D_D[CAT],SMS, D_D[EP],499,D_D[LOC],$A43)/$E43,0))</f>
        <v>0.18044147843942504</v>
      </c>
      <c r="K43" s="91">
        <f ca="1">IF(ISNA($A43),"",IFERROR(SUMIFS(D_D[AWD],D_D[MT],5,D_D[CAT],SMS, D_D[EP],499,D_D[LOC],$A43)/$E43,0))</f>
        <v>4.4917864476386037E-2</v>
      </c>
      <c r="L43" s="91">
        <f ca="1">IF(ISNA($A43),"",IFERROR(SUMIFS(D_D[AUT],D_D[MT],5,D_D[CAT],SMS, D_D[EP],499,D_D[LOC],$A43)/$E43,0))</f>
        <v>1.1550308008213552E-2</v>
      </c>
      <c r="M43" s="6"/>
    </row>
    <row r="44" spans="1:13" ht="12.75" x14ac:dyDescent="0.2">
      <c r="A44" s="143" t="str">
        <f t="shared" ca="1" si="4"/>
        <v>MA301</v>
      </c>
      <c r="B44" s="23">
        <v>31</v>
      </c>
      <c r="C44" s="151">
        <f t="shared" ca="1" si="1"/>
        <v>0</v>
      </c>
      <c r="D44" s="150" t="str">
        <f t="shared" ca="1" si="7"/>
        <v>Boston RO</v>
      </c>
      <c r="E44" s="89">
        <f ca="1">IF(ISNA($A44),"",IFERROR(SUMIFS(D_D[INV],D_D[MT],5,D_D[CAT],SMS, D_D[EP],499,D_D[LOC],$A44),0))</f>
        <v>447</v>
      </c>
      <c r="F44" s="89">
        <f ca="1">IF(ISNA($A44),"",IFERROR(SUMIFS(D_D[BL],D_D[MT],5,D_D[CAT],SMS, D_D[EP],499,D_D[LOC],$A44),0))</f>
        <v>51</v>
      </c>
      <c r="G44" s="91">
        <f t="shared" ca="1" si="8"/>
        <v>0.11409395973154363</v>
      </c>
      <c r="H44" s="91">
        <f ca="1">IF(ISNA($A44),"",IFERROR(SUMIFS(D_D[DEV],D_D[MT],5,D_D[CAT],SMS, D_D[EP],499,D_D[LOC],$A44)/$E44,0))</f>
        <v>0.12751677852348994</v>
      </c>
      <c r="I44" s="91">
        <f ca="1">IF(ISNA($A44),"",IFERROR(SUMIFS(D_D[EVD],D_D[MT],5,D_D[CAT],SMS, D_D[EP],499,D_D[LOC],$A44)/$E44,0))</f>
        <v>0.74049217002237133</v>
      </c>
      <c r="J44" s="91">
        <f ca="1">IF(ISNA($A44),"",IFERROR(SUMIFS(D_D[DEC],D_D[MT],5,D_D[CAT],SMS, D_D[EP],499,D_D[LOC],$A44)/$E44,0))</f>
        <v>0.10738255033557047</v>
      </c>
      <c r="K44" s="91">
        <f ca="1">IF(ISNA($A44),"",IFERROR(SUMIFS(D_D[AWD],D_D[MT],5,D_D[CAT],SMS, D_D[EP],499,D_D[LOC],$A44)/$E44,0))</f>
        <v>1.3422818791946308E-2</v>
      </c>
      <c r="L44" s="91">
        <f ca="1">IF(ISNA($A44),"",IFERROR(SUMIFS(D_D[AUT],D_D[MT],5,D_D[CAT],SMS, D_D[EP],499,D_D[LOC],$A44)/$E44,0))</f>
        <v>1.1185682326621925E-2</v>
      </c>
      <c r="M44" s="6"/>
    </row>
    <row r="45" spans="1:13" ht="12.75" x14ac:dyDescent="0.2">
      <c r="A45" s="143" t="str">
        <f t="shared" ca="1" si="4"/>
        <v>MA-1</v>
      </c>
      <c r="B45" s="23">
        <v>32</v>
      </c>
      <c r="C45" s="151">
        <f t="shared" ca="1" si="1"/>
        <v>0</v>
      </c>
      <c r="D45" s="150" t="str">
        <f t="shared" ca="1" si="7"/>
        <v>Massachusetts-Other RO</v>
      </c>
      <c r="E45" s="89">
        <f ca="1">IF(ISNA($A45),"",IFERROR(SUMIFS(D_D[INV],D_D[MT],5,D_D[CAT],SMS, D_D[EP],499,D_D[LOC],$A45),0))</f>
        <v>703</v>
      </c>
      <c r="F45" s="89">
        <f ca="1">IF(ISNA($A45),"",IFERROR(SUMIFS(D_D[BL],D_D[MT],5,D_D[CAT],SMS, D_D[EP],499,D_D[LOC],$A45),0))</f>
        <v>273</v>
      </c>
      <c r="G45" s="91">
        <f t="shared" ca="1" si="8"/>
        <v>0.38833570412517782</v>
      </c>
      <c r="H45" s="91">
        <f ca="1">IF(ISNA($A45),"",IFERROR(SUMIFS(D_D[DEV],D_D[MT],5,D_D[CAT],SMS, D_D[EP],499,D_D[LOC],$A45)/$E45,0))</f>
        <v>0.20768136557610242</v>
      </c>
      <c r="I45" s="91">
        <f ca="1">IF(ISNA($A45),"",IFERROR(SUMIFS(D_D[EVD],D_D[MT],5,D_D[CAT],SMS, D_D[EP],499,D_D[LOC],$A45)/$E45,0))</f>
        <v>0.43527738264580368</v>
      </c>
      <c r="J45" s="91">
        <f ca="1">IF(ISNA($A45),"",IFERROR(SUMIFS(D_D[DEC],D_D[MT],5,D_D[CAT],SMS, D_D[EP],499,D_D[LOC],$A45)/$E45,0))</f>
        <v>0.1337126600284495</v>
      </c>
      <c r="K45" s="91">
        <f ca="1">IF(ISNA($A45),"",IFERROR(SUMIFS(D_D[AWD],D_D[MT],5,D_D[CAT],SMS, D_D[EP],499,D_D[LOC],$A45)/$E45,0))</f>
        <v>0.16642958748221906</v>
      </c>
      <c r="L45" s="91">
        <f ca="1">IF(ISNA($A45),"",IFERROR(SUMIFS(D_D[AUT],D_D[MT],5,D_D[CAT],SMS, D_D[EP],499,D_D[LOC],$A45)/$E45,0))</f>
        <v>5.6899004267425321E-2</v>
      </c>
      <c r="M45" s="6"/>
    </row>
    <row r="46" spans="1:13" ht="12.75" x14ac:dyDescent="0.2">
      <c r="A46" s="143" t="str">
        <f t="shared" ca="1" si="4"/>
        <v>MA499</v>
      </c>
      <c r="B46" s="23">
        <v>33</v>
      </c>
      <c r="C46" s="151">
        <f t="shared" ca="1" si="1"/>
        <v>0</v>
      </c>
      <c r="D46" s="150" t="str">
        <f t="shared" ca="1" si="7"/>
        <v>Massachusetts-NWQ</v>
      </c>
      <c r="E46" s="89">
        <f ca="1">IF(ISNA($A46),"",IFERROR(SUMIFS(D_D[INV],D_D[MT],5,D_D[CAT],SMS, D_D[EP],499,D_D[LOC],$A46),0))</f>
        <v>2746</v>
      </c>
      <c r="F46" s="89">
        <f ca="1">IF(ISNA($A46),"",IFERROR(SUMIFS(D_D[BL],D_D[MT],5,D_D[CAT],SMS, D_D[EP],499,D_D[LOC],$A46),0))</f>
        <v>580</v>
      </c>
      <c r="G46" s="91">
        <f t="shared" ca="1" si="8"/>
        <v>0.2112163146394756</v>
      </c>
      <c r="H46" s="91">
        <f ca="1">IF(ISNA($A46),"",IFERROR(SUMIFS(D_D[DEV],D_D[MT],5,D_D[CAT],SMS, D_D[EP],499,D_D[LOC],$A46)/$E46,0))</f>
        <v>3.0225782957028404E-2</v>
      </c>
      <c r="I46" s="91">
        <f ca="1">IF(ISNA($A46),"",IFERROR(SUMIFS(D_D[EVD],D_D[MT],5,D_D[CAT],SMS, D_D[EP],499,D_D[LOC],$A46)/$E46,0))</f>
        <v>0.7465404224326293</v>
      </c>
      <c r="J46" s="91">
        <f ca="1">IF(ISNA($A46),"",IFERROR(SUMIFS(D_D[DEC],D_D[MT],5,D_D[CAT],SMS, D_D[EP],499,D_D[LOC],$A46)/$E46,0))</f>
        <v>0.20429715950473415</v>
      </c>
      <c r="K46" s="91">
        <f ca="1">IF(ISNA($A46),"",IFERROR(SUMIFS(D_D[AWD],D_D[MT],5,D_D[CAT],SMS, D_D[EP],499,D_D[LOC],$A46)/$E46,0))</f>
        <v>1.8936635105608158E-2</v>
      </c>
      <c r="L46" s="91">
        <f ca="1">IF(ISNA($A46),"",IFERROR(SUMIFS(D_D[AUT],D_D[MT],5,D_D[CAT],SMS, D_D[EP],499,D_D[LOC],$A46)/$E46,0))</f>
        <v>0</v>
      </c>
      <c r="M46" s="6"/>
    </row>
    <row r="47" spans="1:13" ht="12.75" x14ac:dyDescent="0.2">
      <c r="A47" s="143" t="str">
        <f t="shared" ref="A47:A89" ca="1" si="9">IFERROR(INDEX(INDIRECT(DS_NWQI),B47),#N/A)</f>
        <v>MI100</v>
      </c>
      <c r="B47" s="23">
        <v>34</v>
      </c>
      <c r="C47" s="151" t="str">
        <f t="shared" ca="1" si="1"/>
        <v>Michigan</v>
      </c>
      <c r="D47" s="150" t="str">
        <f t="shared" ca="1" si="7"/>
        <v>Michigan-Total</v>
      </c>
      <c r="E47" s="89">
        <f ca="1">IF(ISNA($A47),"",IFERROR(SUMIFS(D_D[INV],D_D[MT],5,D_D[CAT],SMS, D_D[EP],499,D_D[LOC],$A47),0))</f>
        <v>7241</v>
      </c>
      <c r="F47" s="89">
        <f ca="1">IF(ISNA($A47),"",IFERROR(SUMIFS(D_D[BL],D_D[MT],5,D_D[CAT],SMS, D_D[EP],499,D_D[LOC],$A47),0))</f>
        <v>1574</v>
      </c>
      <c r="G47" s="91">
        <f t="shared" ca="1" si="8"/>
        <v>0.21737329098190858</v>
      </c>
      <c r="H47" s="91">
        <f ca="1">IF(ISNA($A47),"",IFERROR(SUMIFS(D_D[DEV],D_D[MT],5,D_D[CAT],SMS, D_D[EP],499,D_D[LOC],$A47)/$E47,0))</f>
        <v>8.5209225245131887E-2</v>
      </c>
      <c r="I47" s="91">
        <f ca="1">IF(ISNA($A47),"",IFERROR(SUMIFS(D_D[EVD],D_D[MT],5,D_D[CAT],SMS, D_D[EP],499,D_D[LOC],$A47)/$E47,0))</f>
        <v>0.63471896146941031</v>
      </c>
      <c r="J47" s="91">
        <f ca="1">IF(ISNA($A47),"",IFERROR(SUMIFS(D_D[DEC],D_D[MT],5,D_D[CAT],SMS, D_D[EP],499,D_D[LOC],$A47)/$E47,0))</f>
        <v>0.21102057726833309</v>
      </c>
      <c r="K47" s="91">
        <f ca="1">IF(ISNA($A47),"",IFERROR(SUMIFS(D_D[AWD],D_D[MT],5,D_D[CAT],SMS, D_D[EP],499,D_D[LOC],$A47)/$E47,0))</f>
        <v>5.8831653086590247E-2</v>
      </c>
      <c r="L47" s="91">
        <f ca="1">IF(ISNA($A47),"",IFERROR(SUMIFS(D_D[AUT],D_D[MT],5,D_D[CAT],SMS, D_D[EP],499,D_D[LOC],$A47)/$E47,0))</f>
        <v>1.0219582930534456E-2</v>
      </c>
      <c r="M47" s="6"/>
    </row>
    <row r="48" spans="1:13" ht="12.75" x14ac:dyDescent="0.2">
      <c r="A48" s="143" t="str">
        <f t="shared" ca="1" si="9"/>
        <v>MI329</v>
      </c>
      <c r="B48" s="23">
        <v>35</v>
      </c>
      <c r="C48" s="151">
        <f t="shared" ca="1" si="1"/>
        <v>0</v>
      </c>
      <c r="D48" s="150" t="str">
        <f t="shared" ca="1" si="7"/>
        <v>Detroit RO</v>
      </c>
      <c r="E48" s="89">
        <f ca="1">IF(ISNA($A48),"",IFERROR(SUMIFS(D_D[INV],D_D[MT],5,D_D[CAT],SMS, D_D[EP],499,D_D[LOC],$A48),0))</f>
        <v>316</v>
      </c>
      <c r="F48" s="89">
        <f ca="1">IF(ISNA($A48),"",IFERROR(SUMIFS(D_D[BL],D_D[MT],5,D_D[CAT],SMS, D_D[EP],499,D_D[LOC],$A48),0))</f>
        <v>60</v>
      </c>
      <c r="G48" s="91">
        <f t="shared" ca="1" si="8"/>
        <v>0.189873417721519</v>
      </c>
      <c r="H48" s="91">
        <f ca="1">IF(ISNA($A48),"",IFERROR(SUMIFS(D_D[DEV],D_D[MT],5,D_D[CAT],SMS, D_D[EP],499,D_D[LOC],$A48)/$E48,0))</f>
        <v>0.23734177215189872</v>
      </c>
      <c r="I48" s="91">
        <f ca="1">IF(ISNA($A48),"",IFERROR(SUMIFS(D_D[EVD],D_D[MT],5,D_D[CAT],SMS, D_D[EP],499,D_D[LOC],$A48)/$E48,0))</f>
        <v>0.56329113924050633</v>
      </c>
      <c r="J48" s="91">
        <f ca="1">IF(ISNA($A48),"",IFERROR(SUMIFS(D_D[DEC],D_D[MT],5,D_D[CAT],SMS, D_D[EP],499,D_D[LOC],$A48)/$E48,0))</f>
        <v>0.1550632911392405</v>
      </c>
      <c r="K48" s="91">
        <f ca="1">IF(ISNA($A48),"",IFERROR(SUMIFS(D_D[AWD],D_D[MT],5,D_D[CAT],SMS, D_D[EP],499,D_D[LOC],$A48)/$E48,0))</f>
        <v>3.7974683544303799E-2</v>
      </c>
      <c r="L48" s="91">
        <f ca="1">IF(ISNA($A48),"",IFERROR(SUMIFS(D_D[AUT],D_D[MT],5,D_D[CAT],SMS, D_D[EP],499,D_D[LOC],$A48)/$E48,0))</f>
        <v>6.3291139240506328E-3</v>
      </c>
      <c r="M48" s="6"/>
    </row>
    <row r="49" spans="1:13" ht="12.75" x14ac:dyDescent="0.2">
      <c r="A49" s="143" t="str">
        <f t="shared" ca="1" si="9"/>
        <v>MI-1</v>
      </c>
      <c r="B49" s="23">
        <v>36</v>
      </c>
      <c r="C49" s="151">
        <f t="shared" ca="1" si="1"/>
        <v>0</v>
      </c>
      <c r="D49" s="150" t="str">
        <f t="shared" ref="D49:D59" ca="1" si="10">IFERROR(INDEX(INDIRECT(DS_NWQD),B49),"")</f>
        <v>Michigan-Other RO</v>
      </c>
      <c r="E49" s="89">
        <f ca="1">IF(ISNA($A49),"",IFERROR(SUMIFS(D_D[INV],D_D[MT],5,D_D[CAT],SMS, D_D[EP],499,D_D[LOC],$A49),0))</f>
        <v>1878</v>
      </c>
      <c r="F49" s="89">
        <f ca="1">IF(ISNA($A49),"",IFERROR(SUMIFS(D_D[BL],D_D[MT],5,D_D[CAT],SMS, D_D[EP],499,D_D[LOC],$A49),0))</f>
        <v>612</v>
      </c>
      <c r="G49" s="91">
        <f t="shared" ref="G49:G59" ca="1" si="11">IF(ISNA($A49),"",IFERROR(F49/E49,0))</f>
        <v>0.32587859424920129</v>
      </c>
      <c r="H49" s="91">
        <f ca="1">IF(ISNA($A49),"",IFERROR(SUMIFS(D_D[DEV],D_D[MT],5,D_D[CAT],SMS, D_D[EP],499,D_D[LOC],$A49)/$E49,0))</f>
        <v>0.14004259850905218</v>
      </c>
      <c r="I49" s="91">
        <f ca="1">IF(ISNA($A49),"",IFERROR(SUMIFS(D_D[EVD],D_D[MT],5,D_D[CAT],SMS, D_D[EP],499,D_D[LOC],$A49)/$E49,0))</f>
        <v>0.5255591054313099</v>
      </c>
      <c r="J49" s="91">
        <f ca="1">IF(ISNA($A49),"",IFERROR(SUMIFS(D_D[DEC],D_D[MT],5,D_D[CAT],SMS, D_D[EP],499,D_D[LOC],$A49)/$E49,0))</f>
        <v>0.14536741214057508</v>
      </c>
      <c r="K49" s="91">
        <f ca="1">IF(ISNA($A49),"",IFERROR(SUMIFS(D_D[AWD],D_D[MT],5,D_D[CAT],SMS, D_D[EP],499,D_D[LOC],$A49)/$E49,0))</f>
        <v>0.15069222577209798</v>
      </c>
      <c r="L49" s="91">
        <f ca="1">IF(ISNA($A49),"",IFERROR(SUMIFS(D_D[AUT],D_D[MT],5,D_D[CAT],SMS, D_D[EP],499,D_D[LOC],$A49)/$E49,0))</f>
        <v>3.8338658146964855E-2</v>
      </c>
      <c r="M49" s="6"/>
    </row>
    <row r="50" spans="1:13" ht="12.75" x14ac:dyDescent="0.2">
      <c r="A50" s="143" t="str">
        <f t="shared" ca="1" si="9"/>
        <v>MI499</v>
      </c>
      <c r="B50" s="23">
        <v>37</v>
      </c>
      <c r="C50" s="151">
        <f t="shared" ca="1" si="1"/>
        <v>0</v>
      </c>
      <c r="D50" s="150" t="str">
        <f t="shared" ca="1" si="10"/>
        <v>Michigan-NWQ</v>
      </c>
      <c r="E50" s="89">
        <f ca="1">IF(ISNA($A50),"",IFERROR(SUMIFS(D_D[INV],D_D[MT],5,D_D[CAT],SMS, D_D[EP],499,D_D[LOC],$A50),0))</f>
        <v>5047</v>
      </c>
      <c r="F50" s="89">
        <f ca="1">IF(ISNA($A50),"",IFERROR(SUMIFS(D_D[BL],D_D[MT],5,D_D[CAT],SMS, D_D[EP],499,D_D[LOC],$A50),0))</f>
        <v>902</v>
      </c>
      <c r="G50" s="91">
        <f t="shared" ca="1" si="11"/>
        <v>0.17872003170200118</v>
      </c>
      <c r="H50" s="91">
        <f ca="1">IF(ISNA($A50),"",IFERROR(SUMIFS(D_D[DEV],D_D[MT],5,D_D[CAT],SMS, D_D[EP],499,D_D[LOC],$A50)/$E50,0))</f>
        <v>5.528036457301367E-2</v>
      </c>
      <c r="I50" s="91">
        <f ca="1">IF(ISNA($A50),"",IFERROR(SUMIFS(D_D[EVD],D_D[MT],5,D_D[CAT],SMS, D_D[EP],499,D_D[LOC],$A50)/$E50,0))</f>
        <v>0.67980978799286707</v>
      </c>
      <c r="J50" s="91">
        <f ca="1">IF(ISNA($A50),"",IFERROR(SUMIFS(D_D[DEC],D_D[MT],5,D_D[CAT],SMS, D_D[EP],499,D_D[LOC],$A50)/$E50,0))</f>
        <v>0.23895383396076877</v>
      </c>
      <c r="K50" s="91">
        <f ca="1">IF(ISNA($A50),"",IFERROR(SUMIFS(D_D[AWD],D_D[MT],5,D_D[CAT],SMS, D_D[EP],499,D_D[LOC],$A50)/$E50,0))</f>
        <v>2.5956013473350505E-2</v>
      </c>
      <c r="L50" s="91">
        <f ca="1">IF(ISNA($A50),"",IFERROR(SUMIFS(D_D[AUT],D_D[MT],5,D_D[CAT],SMS, D_D[EP],499,D_D[LOC],$A50)/$E50,0))</f>
        <v>0</v>
      </c>
      <c r="M50" s="6"/>
    </row>
    <row r="51" spans="1:13" ht="12.75" x14ac:dyDescent="0.2">
      <c r="A51" s="143" t="str">
        <f t="shared" ca="1" si="9"/>
        <v>MO100</v>
      </c>
      <c r="B51" s="23">
        <v>38</v>
      </c>
      <c r="C51" s="151" t="str">
        <f t="shared" ca="1" si="1"/>
        <v>Missouri</v>
      </c>
      <c r="D51" s="150" t="str">
        <f t="shared" ca="1" si="10"/>
        <v>Missouri-Total</v>
      </c>
      <c r="E51" s="89">
        <f ca="1">IF(ISNA($A51),"",IFERROR(SUMIFS(D_D[INV],D_D[MT],5,D_D[CAT],SMS, D_D[EP],499,D_D[LOC],$A51),0))</f>
        <v>6417</v>
      </c>
      <c r="F51" s="89">
        <f ca="1">IF(ISNA($A51),"",IFERROR(SUMIFS(D_D[BL],D_D[MT],5,D_D[CAT],SMS, D_D[EP],499,D_D[LOC],$A51),0))</f>
        <v>1448</v>
      </c>
      <c r="G51" s="91">
        <f t="shared" ca="1" si="11"/>
        <v>0.22565061555243884</v>
      </c>
      <c r="H51" s="91">
        <f ca="1">IF(ISNA($A51),"",IFERROR(SUMIFS(D_D[DEV],D_D[MT],5,D_D[CAT],SMS, D_D[EP],499,D_D[LOC],$A51)/$E51,0))</f>
        <v>7.760635811126694E-2</v>
      </c>
      <c r="I51" s="91">
        <f ca="1">IF(ISNA($A51),"",IFERROR(SUMIFS(D_D[EVD],D_D[MT],5,D_D[CAT],SMS, D_D[EP],499,D_D[LOC],$A51)/$E51,0))</f>
        <v>0.65887486364344705</v>
      </c>
      <c r="J51" s="91">
        <f ca="1">IF(ISNA($A51),"",IFERROR(SUMIFS(D_D[DEC],D_D[MT],5,D_D[CAT],SMS, D_D[EP],499,D_D[LOC],$A51)/$E51,0))</f>
        <v>0.19806763285024154</v>
      </c>
      <c r="K51" s="91">
        <f ca="1">IF(ISNA($A51),"",IFERROR(SUMIFS(D_D[AWD],D_D[MT],5,D_D[CAT],SMS, D_D[EP],499,D_D[LOC],$A51)/$E51,0))</f>
        <v>5.6100981767180924E-2</v>
      </c>
      <c r="L51" s="91">
        <f ca="1">IF(ISNA($A51),"",IFERROR(SUMIFS(D_D[AUT],D_D[MT],5,D_D[CAT],SMS, D_D[EP],499,D_D[LOC],$A51)/$E51,0))</f>
        <v>9.3501636278634868E-3</v>
      </c>
      <c r="M51" s="6"/>
    </row>
    <row r="52" spans="1:13" ht="12.75" x14ac:dyDescent="0.2">
      <c r="A52" s="143" t="str">
        <f t="shared" ca="1" si="9"/>
        <v>MO331</v>
      </c>
      <c r="B52" s="23">
        <v>39</v>
      </c>
      <c r="C52" s="151">
        <f t="shared" ca="1" si="1"/>
        <v>0</v>
      </c>
      <c r="D52" s="150" t="str">
        <f t="shared" ca="1" si="10"/>
        <v>St. Louis RO</v>
      </c>
      <c r="E52" s="89">
        <f ca="1">IF(ISNA($A52),"",IFERROR(SUMIFS(D_D[INV],D_D[MT],5,D_D[CAT],SMS, D_D[EP],499,D_D[LOC],$A52),0))</f>
        <v>437</v>
      </c>
      <c r="F52" s="89">
        <f ca="1">IF(ISNA($A52),"",IFERROR(SUMIFS(D_D[BL],D_D[MT],5,D_D[CAT],SMS, D_D[EP],499,D_D[LOC],$A52),0))</f>
        <v>45</v>
      </c>
      <c r="G52" s="91">
        <f t="shared" ca="1" si="11"/>
        <v>0.10297482837528604</v>
      </c>
      <c r="H52" s="91">
        <f ca="1">IF(ISNA($A52),"",IFERROR(SUMIFS(D_D[DEV],D_D[MT],5,D_D[CAT],SMS, D_D[EP],499,D_D[LOC],$A52)/$E52,0))</f>
        <v>0.12814645308924486</v>
      </c>
      <c r="I52" s="91">
        <f ca="1">IF(ISNA($A52),"",IFERROR(SUMIFS(D_D[EVD],D_D[MT],5,D_D[CAT],SMS, D_D[EP],499,D_D[LOC],$A52)/$E52,0))</f>
        <v>0.74828375286041193</v>
      </c>
      <c r="J52" s="91">
        <f ca="1">IF(ISNA($A52),"",IFERROR(SUMIFS(D_D[DEC],D_D[MT],5,D_D[CAT],SMS, D_D[EP],499,D_D[LOC],$A52)/$E52,0))</f>
        <v>6.1784897025171627E-2</v>
      </c>
      <c r="K52" s="91">
        <f ca="1">IF(ISNA($A52),"",IFERROR(SUMIFS(D_D[AWD],D_D[MT],5,D_D[CAT],SMS, D_D[EP],499,D_D[LOC],$A52)/$E52,0))</f>
        <v>5.2631578947368418E-2</v>
      </c>
      <c r="L52" s="91">
        <f ca="1">IF(ISNA($A52),"",IFERROR(SUMIFS(D_D[AUT],D_D[MT],5,D_D[CAT],SMS, D_D[EP],499,D_D[LOC],$A52)/$E52,0))</f>
        <v>9.1533180778032037E-3</v>
      </c>
      <c r="M52" s="6"/>
    </row>
    <row r="53" spans="1:13" ht="12.75" x14ac:dyDescent="0.2">
      <c r="A53" s="143" t="str">
        <f t="shared" ca="1" si="9"/>
        <v>MO-1</v>
      </c>
      <c r="B53" s="23">
        <v>40</v>
      </c>
      <c r="C53" s="151">
        <f t="shared" ca="1" si="1"/>
        <v>0</v>
      </c>
      <c r="D53" s="150" t="str">
        <f t="shared" ca="1" si="10"/>
        <v>Missouri-Other RO</v>
      </c>
      <c r="E53" s="89">
        <f ca="1">IF(ISNA($A53),"",IFERROR(SUMIFS(D_D[INV],D_D[MT],5,D_D[CAT],SMS, D_D[EP],499,D_D[LOC],$A53),0))</f>
        <v>1469</v>
      </c>
      <c r="F53" s="89">
        <f ca="1">IF(ISNA($A53),"",IFERROR(SUMIFS(D_D[BL],D_D[MT],5,D_D[CAT],SMS, D_D[EP],499,D_D[LOC],$A53),0))</f>
        <v>562</v>
      </c>
      <c r="G53" s="91">
        <f t="shared" ca="1" si="11"/>
        <v>0.38257317903335603</v>
      </c>
      <c r="H53" s="91">
        <f ca="1">IF(ISNA($A53),"",IFERROR(SUMIFS(D_D[DEV],D_D[MT],5,D_D[CAT],SMS, D_D[EP],499,D_D[LOC],$A53)/$E53,0))</f>
        <v>0.16473791695030632</v>
      </c>
      <c r="I53" s="91">
        <f ca="1">IF(ISNA($A53),"",IFERROR(SUMIFS(D_D[EVD],D_D[MT],5,D_D[CAT],SMS, D_D[EP],499,D_D[LOC],$A53)/$E53,0))</f>
        <v>0.48672566371681414</v>
      </c>
      <c r="J53" s="91">
        <f ca="1">IF(ISNA($A53),"",IFERROR(SUMIFS(D_D[DEC],D_D[MT],5,D_D[CAT],SMS, D_D[EP],499,D_D[LOC],$A53)/$E53,0))</f>
        <v>0.15044247787610621</v>
      </c>
      <c r="K53" s="91">
        <f ca="1">IF(ISNA($A53),"",IFERROR(SUMIFS(D_D[AWD],D_D[MT],5,D_D[CAT],SMS, D_D[EP],499,D_D[LOC],$A53)/$E53,0))</f>
        <v>0.15997277059223963</v>
      </c>
      <c r="L53" s="91">
        <f ca="1">IF(ISNA($A53),"",IFERROR(SUMIFS(D_D[AUT],D_D[MT],5,D_D[CAT],SMS, D_D[EP],499,D_D[LOC],$A53)/$E53,0))</f>
        <v>3.8121170864533697E-2</v>
      </c>
      <c r="M53" s="6"/>
    </row>
    <row r="54" spans="1:13" ht="12.75" x14ac:dyDescent="0.2">
      <c r="A54" s="143" t="str">
        <f t="shared" ca="1" si="9"/>
        <v>MO499</v>
      </c>
      <c r="B54" s="23">
        <v>41</v>
      </c>
      <c r="C54" s="151">
        <f t="shared" ca="1" si="1"/>
        <v>0</v>
      </c>
      <c r="D54" s="150" t="str">
        <f t="shared" ca="1" si="10"/>
        <v>Missouri-NWQ</v>
      </c>
      <c r="E54" s="89">
        <f ca="1">IF(ISNA($A54),"",IFERROR(SUMIFS(D_D[INV],D_D[MT],5,D_D[CAT],SMS, D_D[EP],499,D_D[LOC],$A54),0))</f>
        <v>4511</v>
      </c>
      <c r="F54" s="89">
        <f ca="1">IF(ISNA($A54),"",IFERROR(SUMIFS(D_D[BL],D_D[MT],5,D_D[CAT],SMS, D_D[EP],499,D_D[LOC],$A54),0))</f>
        <v>841</v>
      </c>
      <c r="G54" s="91">
        <f t="shared" ca="1" si="11"/>
        <v>0.18643316337840835</v>
      </c>
      <c r="H54" s="91">
        <f ca="1">IF(ISNA($A54),"",IFERROR(SUMIFS(D_D[DEV],D_D[MT],5,D_D[CAT],SMS, D_D[EP],499,D_D[LOC],$A54)/$E54,0))</f>
        <v>4.4336067390822437E-2</v>
      </c>
      <c r="I54" s="91">
        <f ca="1">IF(ISNA($A54),"",IFERROR(SUMIFS(D_D[EVD],D_D[MT],5,D_D[CAT],SMS, D_D[EP],499,D_D[LOC],$A54)/$E54,0))</f>
        <v>0.70627355353580135</v>
      </c>
      <c r="J54" s="91">
        <f ca="1">IF(ISNA($A54),"",IFERROR(SUMIFS(D_D[DEC],D_D[MT],5,D_D[CAT],SMS, D_D[EP],499,D_D[LOC],$A54)/$E54,0))</f>
        <v>0.22677898470405675</v>
      </c>
      <c r="K54" s="91">
        <f ca="1">IF(ISNA($A54),"",IFERROR(SUMIFS(D_D[AWD],D_D[MT],5,D_D[CAT],SMS, D_D[EP],499,D_D[LOC],$A54)/$E54,0))</f>
        <v>2.2611394369319443E-2</v>
      </c>
      <c r="L54" s="91">
        <f ca="1">IF(ISNA($A54),"",IFERROR(SUMIFS(D_D[AUT],D_D[MT],5,D_D[CAT],SMS, D_D[EP],499,D_D[LOC],$A54)/$E54,0))</f>
        <v>0</v>
      </c>
      <c r="M54" s="6"/>
    </row>
    <row r="55" spans="1:13" ht="12.75" x14ac:dyDescent="0.2">
      <c r="A55" s="143" t="str">
        <f t="shared" ca="1" si="9"/>
        <v>NH100</v>
      </c>
      <c r="B55" s="23">
        <v>42</v>
      </c>
      <c r="C55" s="151" t="str">
        <f t="shared" ca="1" si="1"/>
        <v>New Hampshire</v>
      </c>
      <c r="D55" s="150" t="str">
        <f t="shared" ca="1" si="10"/>
        <v>New Hampshire-Total</v>
      </c>
      <c r="E55" s="89">
        <f ca="1">IF(ISNA($A55),"",IFERROR(SUMIFS(D_D[INV],D_D[MT],5,D_D[CAT],SMS, D_D[EP],499,D_D[LOC],$A55),0))</f>
        <v>1296</v>
      </c>
      <c r="F55" s="89">
        <f ca="1">IF(ISNA($A55),"",IFERROR(SUMIFS(D_D[BL],D_D[MT],5,D_D[CAT],SMS, D_D[EP],499,D_D[LOC],$A55),0))</f>
        <v>281</v>
      </c>
      <c r="G55" s="91">
        <f t="shared" ca="1" si="11"/>
        <v>0.21682098765432098</v>
      </c>
      <c r="H55" s="91">
        <f ca="1">IF(ISNA($A55),"",IFERROR(SUMIFS(D_D[DEV],D_D[MT],5,D_D[CAT],SMS, D_D[EP],499,D_D[LOC],$A55)/$E55,0))</f>
        <v>6.095679012345679E-2</v>
      </c>
      <c r="I55" s="91">
        <f ca="1">IF(ISNA($A55),"",IFERROR(SUMIFS(D_D[EVD],D_D[MT],5,D_D[CAT],SMS, D_D[EP],499,D_D[LOC],$A55)/$E55,0))</f>
        <v>0.68595679012345678</v>
      </c>
      <c r="J55" s="91">
        <f ca="1">IF(ISNA($A55),"",IFERROR(SUMIFS(D_D[DEC],D_D[MT],5,D_D[CAT],SMS, D_D[EP],499,D_D[LOC],$A55)/$E55,0))</f>
        <v>0.19598765432098766</v>
      </c>
      <c r="K55" s="91">
        <f ca="1">IF(ISNA($A55),"",IFERROR(SUMIFS(D_D[AWD],D_D[MT],5,D_D[CAT],SMS, D_D[EP],499,D_D[LOC],$A55)/$E55,0))</f>
        <v>4.5524691358024692E-2</v>
      </c>
      <c r="L55" s="91">
        <f ca="1">IF(ISNA($A55),"",IFERROR(SUMIFS(D_D[AUT],D_D[MT],5,D_D[CAT],SMS, D_D[EP],499,D_D[LOC],$A55)/$E55,0))</f>
        <v>1.1574074074074073E-2</v>
      </c>
      <c r="M55" s="6"/>
    </row>
    <row r="56" spans="1:13" ht="12.75" x14ac:dyDescent="0.2">
      <c r="A56" s="143" t="str">
        <f t="shared" ca="1" si="9"/>
        <v>NH373</v>
      </c>
      <c r="B56" s="23">
        <v>43</v>
      </c>
      <c r="C56" s="151">
        <f t="shared" ca="1" si="1"/>
        <v>0</v>
      </c>
      <c r="D56" s="150" t="str">
        <f t="shared" ca="1" si="10"/>
        <v>Manchester RO</v>
      </c>
      <c r="E56" s="89">
        <f ca="1">IF(ISNA($A56),"",IFERROR(SUMIFS(D_D[INV],D_D[MT],5,D_D[CAT],SMS, D_D[EP],499,D_D[LOC],$A56),0))</f>
        <v>95</v>
      </c>
      <c r="F56" s="89">
        <f ca="1">IF(ISNA($A56),"",IFERROR(SUMIFS(D_D[BL],D_D[MT],5,D_D[CAT],SMS, D_D[EP],499,D_D[LOC],$A56),0))</f>
        <v>5</v>
      </c>
      <c r="G56" s="91">
        <f t="shared" ca="1" si="11"/>
        <v>5.2631578947368418E-2</v>
      </c>
      <c r="H56" s="91">
        <f ca="1">IF(ISNA($A56),"",IFERROR(SUMIFS(D_D[DEV],D_D[MT],5,D_D[CAT],SMS, D_D[EP],499,D_D[LOC],$A56)/$E56,0))</f>
        <v>9.4736842105263161E-2</v>
      </c>
      <c r="I56" s="91">
        <f ca="1">IF(ISNA($A56),"",IFERROR(SUMIFS(D_D[EVD],D_D[MT],5,D_D[CAT],SMS, D_D[EP],499,D_D[LOC],$A56)/$E56,0))</f>
        <v>0.75789473684210529</v>
      </c>
      <c r="J56" s="91">
        <f ca="1">IF(ISNA($A56),"",IFERROR(SUMIFS(D_D[DEC],D_D[MT],5,D_D[CAT],SMS, D_D[EP],499,D_D[LOC],$A56)/$E56,0))</f>
        <v>0.1368421052631579</v>
      </c>
      <c r="K56" s="91">
        <f ca="1">IF(ISNA($A56),"",IFERROR(SUMIFS(D_D[AWD],D_D[MT],5,D_D[CAT],SMS, D_D[EP],499,D_D[LOC],$A56)/$E56,0))</f>
        <v>1.0526315789473684E-2</v>
      </c>
      <c r="L56" s="91">
        <f ca="1">IF(ISNA($A56),"",IFERROR(SUMIFS(D_D[AUT],D_D[MT],5,D_D[CAT],SMS, D_D[EP],499,D_D[LOC],$A56)/$E56,0))</f>
        <v>0</v>
      </c>
      <c r="M56" s="6"/>
    </row>
    <row r="57" spans="1:13" ht="12.75" x14ac:dyDescent="0.2">
      <c r="A57" s="143" t="str">
        <f t="shared" ca="1" si="9"/>
        <v>NH-1</v>
      </c>
      <c r="B57" s="23">
        <v>44</v>
      </c>
      <c r="C57" s="151">
        <f t="shared" ca="1" si="1"/>
        <v>0</v>
      </c>
      <c r="D57" s="150" t="str">
        <f t="shared" ca="1" si="10"/>
        <v>New Hampshire-Other RO</v>
      </c>
      <c r="E57" s="89">
        <f ca="1">IF(ISNA($A57),"",IFERROR(SUMIFS(D_D[INV],D_D[MT],5,D_D[CAT],SMS, D_D[EP],499,D_D[LOC],$A57),0))</f>
        <v>252</v>
      </c>
      <c r="F57" s="89">
        <f ca="1">IF(ISNA($A57),"",IFERROR(SUMIFS(D_D[BL],D_D[MT],5,D_D[CAT],SMS, D_D[EP],499,D_D[LOC],$A57),0))</f>
        <v>98</v>
      </c>
      <c r="G57" s="91">
        <f t="shared" ca="1" si="11"/>
        <v>0.3888888888888889</v>
      </c>
      <c r="H57" s="91">
        <f ca="1">IF(ISNA($A57),"",IFERROR(SUMIFS(D_D[DEV],D_D[MT],5,D_D[CAT],SMS, D_D[EP],499,D_D[LOC],$A57)/$E57,0))</f>
        <v>0.18650793650793651</v>
      </c>
      <c r="I57" s="91">
        <f ca="1">IF(ISNA($A57),"",IFERROR(SUMIFS(D_D[EVD],D_D[MT],5,D_D[CAT],SMS, D_D[EP],499,D_D[LOC],$A57)/$E57,0))</f>
        <v>0.43650793650793651</v>
      </c>
      <c r="J57" s="91">
        <f ca="1">IF(ISNA($A57),"",IFERROR(SUMIFS(D_D[DEC],D_D[MT],5,D_D[CAT],SMS, D_D[EP],499,D_D[LOC],$A57)/$E57,0))</f>
        <v>0.13095238095238096</v>
      </c>
      <c r="K57" s="91">
        <f ca="1">IF(ISNA($A57),"",IFERROR(SUMIFS(D_D[AWD],D_D[MT],5,D_D[CAT],SMS, D_D[EP],499,D_D[LOC],$A57)/$E57,0))</f>
        <v>0.18650793650793651</v>
      </c>
      <c r="L57" s="91">
        <f ca="1">IF(ISNA($A57),"",IFERROR(SUMIFS(D_D[AUT],D_D[MT],5,D_D[CAT],SMS, D_D[EP],499,D_D[LOC],$A57)/$E57,0))</f>
        <v>5.9523809523809521E-2</v>
      </c>
      <c r="M57" s="6"/>
    </row>
    <row r="58" spans="1:13" ht="12.75" x14ac:dyDescent="0.2">
      <c r="A58" s="143" t="str">
        <f t="shared" ca="1" si="9"/>
        <v>NH499</v>
      </c>
      <c r="B58" s="23">
        <v>45</v>
      </c>
      <c r="C58" s="151">
        <f t="shared" ca="1" si="1"/>
        <v>0</v>
      </c>
      <c r="D58" s="150" t="str">
        <f t="shared" ca="1" si="10"/>
        <v>New Hampshire-NWQ</v>
      </c>
      <c r="E58" s="89">
        <f ca="1">IF(ISNA($A58),"",IFERROR(SUMIFS(D_D[INV],D_D[MT],5,D_D[CAT],SMS, D_D[EP],499,D_D[LOC],$A58),0))</f>
        <v>949</v>
      </c>
      <c r="F58" s="89">
        <f ca="1">IF(ISNA($A58),"",IFERROR(SUMIFS(D_D[BL],D_D[MT],5,D_D[CAT],SMS, D_D[EP],499,D_D[LOC],$A58),0))</f>
        <v>178</v>
      </c>
      <c r="G58" s="91">
        <f t="shared" ca="1" si="11"/>
        <v>0.18756585879873552</v>
      </c>
      <c r="H58" s="91">
        <f ca="1">IF(ISNA($A58),"",IFERROR(SUMIFS(D_D[DEV],D_D[MT],5,D_D[CAT],SMS, D_D[EP],499,D_D[LOC],$A58)/$E58,0))</f>
        <v>2.4236037934668071E-2</v>
      </c>
      <c r="I58" s="91">
        <f ca="1">IF(ISNA($A58),"",IFERROR(SUMIFS(D_D[EVD],D_D[MT],5,D_D[CAT],SMS, D_D[EP],499,D_D[LOC],$A58)/$E58,0))</f>
        <v>0.74499473129610116</v>
      </c>
      <c r="J58" s="91">
        <f ca="1">IF(ISNA($A58),"",IFERROR(SUMIFS(D_D[DEC],D_D[MT],5,D_D[CAT],SMS, D_D[EP],499,D_D[LOC],$A58)/$E58,0))</f>
        <v>0.21917808219178081</v>
      </c>
      <c r="K58" s="91">
        <f ca="1">IF(ISNA($A58),"",IFERROR(SUMIFS(D_D[AWD],D_D[MT],5,D_D[CAT],SMS, D_D[EP],499,D_D[LOC],$A58)/$E58,0))</f>
        <v>1.1591148577449948E-2</v>
      </c>
      <c r="L58" s="91">
        <f ca="1">IF(ISNA($A58),"",IFERROR(SUMIFS(D_D[AUT],D_D[MT],5,D_D[CAT],SMS, D_D[EP],499,D_D[LOC],$A58)/$E58,0))</f>
        <v>0</v>
      </c>
      <c r="M58" s="6"/>
    </row>
    <row r="59" spans="1:13" ht="12.75" x14ac:dyDescent="0.2">
      <c r="A59" s="143" t="str">
        <f t="shared" ca="1" si="9"/>
        <v>NJ100</v>
      </c>
      <c r="B59" s="23">
        <v>46</v>
      </c>
      <c r="C59" s="151" t="str">
        <f t="shared" ca="1" si="1"/>
        <v>New Jersey</v>
      </c>
      <c r="D59" s="150" t="str">
        <f t="shared" ca="1" si="10"/>
        <v>New Jersey-Total</v>
      </c>
      <c r="E59" s="89">
        <f ca="1">IF(ISNA($A59),"",IFERROR(SUMIFS(D_D[INV],D_D[MT],5,D_D[CAT],SMS, D_D[EP],499,D_D[LOC],$A59),0))</f>
        <v>4773</v>
      </c>
      <c r="F59" s="89">
        <f ca="1">IF(ISNA($A59),"",IFERROR(SUMIFS(D_D[BL],D_D[MT],5,D_D[CAT],SMS, D_D[EP],499,D_D[LOC],$A59),0))</f>
        <v>1185</v>
      </c>
      <c r="G59" s="91">
        <f t="shared" ca="1" si="11"/>
        <v>0.24827152734129479</v>
      </c>
      <c r="H59" s="91">
        <f ca="1">IF(ISNA($A59),"",IFERROR(SUMIFS(D_D[DEV],D_D[MT],5,D_D[CAT],SMS, D_D[EP],499,D_D[LOC],$A59)/$E59,0))</f>
        <v>6.3691598575319502E-2</v>
      </c>
      <c r="I59" s="91">
        <f ca="1">IF(ISNA($A59),"",IFERROR(SUMIFS(D_D[EVD],D_D[MT],5,D_D[CAT],SMS, D_D[EP],499,D_D[LOC],$A59)/$E59,0))</f>
        <v>0.69076052796983034</v>
      </c>
      <c r="J59" s="91">
        <f ca="1">IF(ISNA($A59),"",IFERROR(SUMIFS(D_D[DEC],D_D[MT],5,D_D[CAT],SMS, D_D[EP],499,D_D[LOC],$A59)/$E59,0))</f>
        <v>0.17808506180599204</v>
      </c>
      <c r="K59" s="91">
        <f ca="1">IF(ISNA($A59),"",IFERROR(SUMIFS(D_D[AWD],D_D[MT],5,D_D[CAT],SMS, D_D[EP],499,D_D[LOC],$A59)/$E59,0))</f>
        <v>5.8453802639849152E-2</v>
      </c>
      <c r="L59" s="91">
        <f ca="1">IF(ISNA($A59),"",IFERROR(SUMIFS(D_D[AUT],D_D[MT],5,D_D[CAT],SMS, D_D[EP],499,D_D[LOC],$A59)/$E59,0))</f>
        <v>9.0090090090090089E-3</v>
      </c>
      <c r="M59" s="6"/>
    </row>
    <row r="60" spans="1:13" ht="12.75" x14ac:dyDescent="0.2">
      <c r="A60" s="143" t="str">
        <f t="shared" ca="1" si="9"/>
        <v>NJ309</v>
      </c>
      <c r="B60" s="23">
        <v>47</v>
      </c>
      <c r="C60" s="151">
        <f t="shared" ca="1" si="1"/>
        <v>0</v>
      </c>
      <c r="D60" s="150" t="str">
        <f t="shared" ref="D60:D81" ca="1" si="12">IFERROR(INDEX(INDIRECT(DS_NWQD),B60),"")</f>
        <v>Newark RO</v>
      </c>
      <c r="E60" s="89">
        <f ca="1">IF(ISNA($A60),"",IFERROR(SUMIFS(D_D[INV],D_D[MT],5,D_D[CAT],SMS, D_D[EP],499,D_D[LOC],$A60),0))</f>
        <v>99</v>
      </c>
      <c r="F60" s="89">
        <f ca="1">IF(ISNA($A60),"",IFERROR(SUMIFS(D_D[BL],D_D[MT],5,D_D[CAT],SMS, D_D[EP],499,D_D[LOC],$A60),0))</f>
        <v>11</v>
      </c>
      <c r="G60" s="91">
        <f t="shared" ref="G60:G81" ca="1" si="13">IF(ISNA($A60),"",IFERROR(F60/E60,0))</f>
        <v>0.1111111111111111</v>
      </c>
      <c r="H60" s="91">
        <f ca="1">IF(ISNA($A60),"",IFERROR(SUMIFS(D_D[DEV],D_D[MT],5,D_D[CAT],SMS, D_D[EP],499,D_D[LOC],$A60)/$E60,0))</f>
        <v>0.16161616161616163</v>
      </c>
      <c r="I60" s="91">
        <f ca="1">IF(ISNA($A60),"",IFERROR(SUMIFS(D_D[EVD],D_D[MT],5,D_D[CAT],SMS, D_D[EP],499,D_D[LOC],$A60)/$E60,0))</f>
        <v>0.70707070707070707</v>
      </c>
      <c r="J60" s="91">
        <f ca="1">IF(ISNA($A60),"",IFERROR(SUMIFS(D_D[DEC],D_D[MT],5,D_D[CAT],SMS, D_D[EP],499,D_D[LOC],$A60)/$E60,0))</f>
        <v>8.0808080808080815E-2</v>
      </c>
      <c r="K60" s="91">
        <f ca="1">IF(ISNA($A60),"",IFERROR(SUMIFS(D_D[AWD],D_D[MT],5,D_D[CAT],SMS, D_D[EP],499,D_D[LOC],$A60)/$E60,0))</f>
        <v>4.0404040404040407E-2</v>
      </c>
      <c r="L60" s="91">
        <f ca="1">IF(ISNA($A60),"",IFERROR(SUMIFS(D_D[AUT],D_D[MT],5,D_D[CAT],SMS, D_D[EP],499,D_D[LOC],$A60)/$E60,0))</f>
        <v>1.0101010101010102E-2</v>
      </c>
      <c r="M60" s="6"/>
    </row>
    <row r="61" spans="1:13" ht="12.75" x14ac:dyDescent="0.2">
      <c r="A61" s="143" t="str">
        <f t="shared" ca="1" si="9"/>
        <v>NJ-1</v>
      </c>
      <c r="B61" s="23">
        <v>48</v>
      </c>
      <c r="C61" s="151">
        <f t="shared" ca="1" si="1"/>
        <v>0</v>
      </c>
      <c r="D61" s="150" t="str">
        <f t="shared" ca="1" si="12"/>
        <v>New Jersey-Other RO</v>
      </c>
      <c r="E61" s="89">
        <f ca="1">IF(ISNA($A61),"",IFERROR(SUMIFS(D_D[INV],D_D[MT],5,D_D[CAT],SMS, D_D[EP],499,D_D[LOC],$A61),0))</f>
        <v>1237</v>
      </c>
      <c r="F61" s="89">
        <f ca="1">IF(ISNA($A61),"",IFERROR(SUMIFS(D_D[BL],D_D[MT],5,D_D[CAT],SMS, D_D[EP],499,D_D[LOC],$A61),0))</f>
        <v>447</v>
      </c>
      <c r="G61" s="91">
        <f t="shared" ca="1" si="13"/>
        <v>0.36135812449474536</v>
      </c>
      <c r="H61" s="91">
        <f ca="1">IF(ISNA($A61),"",IFERROR(SUMIFS(D_D[DEV],D_D[MT],5,D_D[CAT],SMS, D_D[EP],499,D_D[LOC],$A61)/$E61,0))</f>
        <v>0.13419563459983833</v>
      </c>
      <c r="I61" s="91">
        <f ca="1">IF(ISNA($A61),"",IFERROR(SUMIFS(D_D[EVD],D_D[MT],5,D_D[CAT],SMS, D_D[EP],499,D_D[LOC],$A61)/$E61,0))</f>
        <v>0.5642683912691997</v>
      </c>
      <c r="J61" s="91">
        <f ca="1">IF(ISNA($A61),"",IFERROR(SUMIFS(D_D[DEC],D_D[MT],5,D_D[CAT],SMS, D_D[EP],499,D_D[LOC],$A61)/$E61,0))</f>
        <v>0.12530315278900567</v>
      </c>
      <c r="K61" s="91">
        <f ca="1">IF(ISNA($A61),"",IFERROR(SUMIFS(D_D[AWD],D_D[MT],5,D_D[CAT],SMS, D_D[EP],499,D_D[LOC],$A61)/$E61,0))</f>
        <v>0.14227970897332257</v>
      </c>
      <c r="L61" s="91">
        <f ca="1">IF(ISNA($A61),"",IFERROR(SUMIFS(D_D[AUT],D_D[MT],5,D_D[CAT],SMS, D_D[EP],499,D_D[LOC],$A61)/$E61,0))</f>
        <v>3.3953112368633791E-2</v>
      </c>
      <c r="M61" s="6"/>
    </row>
    <row r="62" spans="1:13" ht="12.75" x14ac:dyDescent="0.2">
      <c r="A62" s="143" t="str">
        <f t="shared" ca="1" si="9"/>
        <v>NJ499</v>
      </c>
      <c r="B62" s="23">
        <v>49</v>
      </c>
      <c r="C62" s="151">
        <f t="shared" ca="1" si="1"/>
        <v>0</v>
      </c>
      <c r="D62" s="150" t="str">
        <f t="shared" ca="1" si="12"/>
        <v>New Jersey-NWQ</v>
      </c>
      <c r="E62" s="89">
        <f ca="1">IF(ISNA($A62),"",IFERROR(SUMIFS(D_D[INV],D_D[MT],5,D_D[CAT],SMS, D_D[EP],499,D_D[LOC],$A62),0))</f>
        <v>3437</v>
      </c>
      <c r="F62" s="89">
        <f ca="1">IF(ISNA($A62),"",IFERROR(SUMIFS(D_D[BL],D_D[MT],5,D_D[CAT],SMS, D_D[EP],499,D_D[LOC],$A62),0))</f>
        <v>727</v>
      </c>
      <c r="G62" s="91">
        <f t="shared" ca="1" si="13"/>
        <v>0.21152167588012802</v>
      </c>
      <c r="H62" s="91">
        <f ca="1">IF(ISNA($A62),"",IFERROR(SUMIFS(D_D[DEV],D_D[MT],5,D_D[CAT],SMS, D_D[EP],499,D_D[LOC],$A62)/$E62,0))</f>
        <v>3.5496072155949958E-2</v>
      </c>
      <c r="I62" s="91">
        <f ca="1">IF(ISNA($A62),"",IFERROR(SUMIFS(D_D[EVD],D_D[MT],5,D_D[CAT],SMS, D_D[EP],499,D_D[LOC],$A62)/$E62,0))</f>
        <v>0.73581611870817576</v>
      </c>
      <c r="J62" s="91">
        <f ca="1">IF(ISNA($A62),"",IFERROR(SUMIFS(D_D[DEC],D_D[MT],5,D_D[CAT],SMS, D_D[EP],499,D_D[LOC],$A62)/$E62,0))</f>
        <v>0.19988361943555427</v>
      </c>
      <c r="K62" s="91">
        <f ca="1">IF(ISNA($A62),"",IFERROR(SUMIFS(D_D[AWD],D_D[MT],5,D_D[CAT],SMS, D_D[EP],499,D_D[LOC],$A62)/$E62,0))</f>
        <v>2.8804189700320046E-2</v>
      </c>
      <c r="L62" s="91">
        <f ca="1">IF(ISNA($A62),"",IFERROR(SUMIFS(D_D[AUT],D_D[MT],5,D_D[CAT],SMS, D_D[EP],499,D_D[LOC],$A62)/$E62,0))</f>
        <v>0</v>
      </c>
      <c r="M62" s="6"/>
    </row>
    <row r="63" spans="1:13" ht="12.75" x14ac:dyDescent="0.2">
      <c r="A63" s="143" t="str">
        <f t="shared" ca="1" si="9"/>
        <v>NY100</v>
      </c>
      <c r="B63" s="23">
        <v>50</v>
      </c>
      <c r="C63" s="151" t="str">
        <f t="shared" ref="C63:C79" ca="1" si="14">IFERROR(INDEX(INDIRECT(DS_NWQ),B63),"")</f>
        <v>New York</v>
      </c>
      <c r="D63" s="150" t="str">
        <f t="shared" ca="1" si="12"/>
        <v>New York-Total</v>
      </c>
      <c r="E63" s="89">
        <f ca="1">IF(ISNA($A63),"",IFERROR(SUMIFS(D_D[INV],D_D[MT],5,D_D[CAT],SMS, D_D[EP],499,D_D[LOC],$A63),0))</f>
        <v>9310</v>
      </c>
      <c r="F63" s="89">
        <f ca="1">IF(ISNA($A63),"",IFERROR(SUMIFS(D_D[BL],D_D[MT],5,D_D[CAT],SMS, D_D[EP],499,D_D[LOC],$A63),0))</f>
        <v>2189</v>
      </c>
      <c r="G63" s="91">
        <f t="shared" ca="1" si="13"/>
        <v>0.23512352309344792</v>
      </c>
      <c r="H63" s="91">
        <f ca="1">IF(ISNA($A63),"",IFERROR(SUMIFS(D_D[DEV],D_D[MT],5,D_D[CAT],SMS, D_D[EP],499,D_D[LOC],$A63)/$E63,0))</f>
        <v>6.8635875402792701E-2</v>
      </c>
      <c r="I63" s="91">
        <f ca="1">IF(ISNA($A63),"",IFERROR(SUMIFS(D_D[EVD],D_D[MT],5,D_D[CAT],SMS, D_D[EP],499,D_D[LOC],$A63)/$E63,0))</f>
        <v>0.67196562835660578</v>
      </c>
      <c r="J63" s="91">
        <f ca="1">IF(ISNA($A63),"",IFERROR(SUMIFS(D_D[DEC],D_D[MT],5,D_D[CAT],SMS, D_D[EP],499,D_D[LOC],$A63)/$E63,0))</f>
        <v>0.19817400644468314</v>
      </c>
      <c r="K63" s="91">
        <f ca="1">IF(ISNA($A63),"",IFERROR(SUMIFS(D_D[AWD],D_D[MT],5,D_D[CAT],SMS, D_D[EP],499,D_D[LOC],$A63)/$E63,0))</f>
        <v>5.0698174006444684E-2</v>
      </c>
      <c r="L63" s="91">
        <f ca="1">IF(ISNA($A63),"",IFERROR(SUMIFS(D_D[AUT],D_D[MT],5,D_D[CAT],SMS, D_D[EP],499,D_D[LOC],$A63)/$E63,0))</f>
        <v>1.0526315789473684E-2</v>
      </c>
      <c r="M63" s="6"/>
    </row>
    <row r="64" spans="1:13" ht="12.75" x14ac:dyDescent="0.2">
      <c r="A64" s="143" t="str">
        <f t="shared" ca="1" si="9"/>
        <v>NY307</v>
      </c>
      <c r="B64" s="23">
        <v>51</v>
      </c>
      <c r="C64" s="151">
        <f t="shared" ca="1" si="14"/>
        <v>0</v>
      </c>
      <c r="D64" s="150" t="str">
        <f t="shared" ref="D64:D79" ca="1" si="15">IFERROR(INDEX(INDIRECT(DS_NWQD),B64),"")</f>
        <v>Buffalo RO</v>
      </c>
      <c r="E64" s="89">
        <f ca="1">IF(ISNA($A64),"",IFERROR(SUMIFS(D_D[INV],D_D[MT],5,D_D[CAT],SMS, D_D[EP],499,D_D[LOC],$A64),0))</f>
        <v>181</v>
      </c>
      <c r="F64" s="89">
        <f ca="1">IF(ISNA($A64),"",IFERROR(SUMIFS(D_D[BL],D_D[MT],5,D_D[CAT],SMS, D_D[EP],499,D_D[LOC],$A64),0))</f>
        <v>21</v>
      </c>
      <c r="G64" s="91">
        <f t="shared" ref="G64:G79" ca="1" si="16">IF(ISNA($A64),"",IFERROR(F64/E64,0))</f>
        <v>0.11602209944751381</v>
      </c>
      <c r="H64" s="91">
        <f ca="1">IF(ISNA($A64),"",IFERROR(SUMIFS(D_D[DEV],D_D[MT],5,D_D[CAT],SMS, D_D[EP],499,D_D[LOC],$A64)/$E64,0))</f>
        <v>0.15469613259668508</v>
      </c>
      <c r="I64" s="91">
        <f ca="1">IF(ISNA($A64),"",IFERROR(SUMIFS(D_D[EVD],D_D[MT],5,D_D[CAT],SMS, D_D[EP],499,D_D[LOC],$A64)/$E64,0))</f>
        <v>0.67403314917127077</v>
      </c>
      <c r="J64" s="91">
        <f ca="1">IF(ISNA($A64),"",IFERROR(SUMIFS(D_D[DEC],D_D[MT],5,D_D[CAT],SMS, D_D[EP],499,D_D[LOC],$A64)/$E64,0))</f>
        <v>0.11602209944751381</v>
      </c>
      <c r="K64" s="91">
        <f ca="1">IF(ISNA($A64),"",IFERROR(SUMIFS(D_D[AWD],D_D[MT],5,D_D[CAT],SMS, D_D[EP],499,D_D[LOC],$A64)/$E64,0))</f>
        <v>5.5248618784530384E-2</v>
      </c>
      <c r="L64" s="91">
        <f ca="1">IF(ISNA($A64),"",IFERROR(SUMIFS(D_D[AUT],D_D[MT],5,D_D[CAT],SMS, D_D[EP],499,D_D[LOC],$A64)/$E64,0))</f>
        <v>0</v>
      </c>
      <c r="M64" s="6"/>
    </row>
    <row r="65" spans="1:13" ht="12.75" x14ac:dyDescent="0.2">
      <c r="A65" s="143" t="str">
        <f t="shared" ca="1" si="9"/>
        <v>NY306</v>
      </c>
      <c r="B65" s="23">
        <v>52</v>
      </c>
      <c r="C65" s="151">
        <f t="shared" ca="1" si="14"/>
        <v>0</v>
      </c>
      <c r="D65" s="150" t="str">
        <f t="shared" ca="1" si="15"/>
        <v>New York RO</v>
      </c>
      <c r="E65" s="89">
        <f ca="1">IF(ISNA($A65),"",IFERROR(SUMIFS(D_D[INV],D_D[MT],5,D_D[CAT],SMS, D_D[EP],499,D_D[LOC],$A65),0))</f>
        <v>291</v>
      </c>
      <c r="F65" s="89">
        <f ca="1">IF(ISNA($A65),"",IFERROR(SUMIFS(D_D[BL],D_D[MT],5,D_D[CAT],SMS, D_D[EP],499,D_D[LOC],$A65),0))</f>
        <v>57</v>
      </c>
      <c r="G65" s="91">
        <f t="shared" ca="1" si="16"/>
        <v>0.19587628865979381</v>
      </c>
      <c r="H65" s="91">
        <f ca="1">IF(ISNA($A65),"",IFERROR(SUMIFS(D_D[DEV],D_D[MT],5,D_D[CAT],SMS, D_D[EP],499,D_D[LOC],$A65)/$E65,0))</f>
        <v>0.14432989690721648</v>
      </c>
      <c r="I65" s="91">
        <f ca="1">IF(ISNA($A65),"",IFERROR(SUMIFS(D_D[EVD],D_D[MT],5,D_D[CAT],SMS, D_D[EP],499,D_D[LOC],$A65)/$E65,0))</f>
        <v>0.72852233676975942</v>
      </c>
      <c r="J65" s="91">
        <f ca="1">IF(ISNA($A65),"",IFERROR(SUMIFS(D_D[DEC],D_D[MT],5,D_D[CAT],SMS, D_D[EP],499,D_D[LOC],$A65)/$E65,0))</f>
        <v>8.247422680412371E-2</v>
      </c>
      <c r="K65" s="91">
        <f ca="1">IF(ISNA($A65),"",IFERROR(SUMIFS(D_D[AWD],D_D[MT],5,D_D[CAT],SMS, D_D[EP],499,D_D[LOC],$A65)/$E65,0))</f>
        <v>4.4673539518900345E-2</v>
      </c>
      <c r="L65" s="91">
        <f ca="1">IF(ISNA($A65),"",IFERROR(SUMIFS(D_D[AUT],D_D[MT],5,D_D[CAT],SMS, D_D[EP],499,D_D[LOC],$A65)/$E65,0))</f>
        <v>0</v>
      </c>
      <c r="M65" s="6"/>
    </row>
    <row r="66" spans="1:13" ht="12.75" x14ac:dyDescent="0.2">
      <c r="A66" s="143" t="str">
        <f t="shared" ca="1" si="9"/>
        <v>NY-1</v>
      </c>
      <c r="B66" s="23">
        <v>53</v>
      </c>
      <c r="C66" s="151">
        <f t="shared" ca="1" si="14"/>
        <v>0</v>
      </c>
      <c r="D66" s="150" t="str">
        <f t="shared" ca="1" si="15"/>
        <v>New York-Other RO</v>
      </c>
      <c r="E66" s="89">
        <f ca="1">IF(ISNA($A66),"",IFERROR(SUMIFS(D_D[INV],D_D[MT],5,D_D[CAT],SMS, D_D[EP],499,D_D[LOC],$A66),0))</f>
        <v>2116</v>
      </c>
      <c r="F66" s="89">
        <f ca="1">IF(ISNA($A66),"",IFERROR(SUMIFS(D_D[BL],D_D[MT],5,D_D[CAT],SMS, D_D[EP],499,D_D[LOC],$A66),0))</f>
        <v>796</v>
      </c>
      <c r="G66" s="91">
        <f t="shared" ca="1" si="16"/>
        <v>0.37618147448015121</v>
      </c>
      <c r="H66" s="91">
        <f ca="1">IF(ISNA($A66),"",IFERROR(SUMIFS(D_D[DEV],D_D[MT],5,D_D[CAT],SMS, D_D[EP],499,D_D[LOC],$A66)/$E66,0))</f>
        <v>0.138468809073724</v>
      </c>
      <c r="I66" s="91">
        <f ca="1">IF(ISNA($A66),"",IFERROR(SUMIFS(D_D[EVD],D_D[MT],5,D_D[CAT],SMS, D_D[EP],499,D_D[LOC],$A66)/$E66,0))</f>
        <v>0.51795841209829863</v>
      </c>
      <c r="J66" s="91">
        <f ca="1">IF(ISNA($A66),"",IFERROR(SUMIFS(D_D[DEC],D_D[MT],5,D_D[CAT],SMS, D_D[EP],499,D_D[LOC],$A66)/$E66,0))</f>
        <v>0.14366729678638943</v>
      </c>
      <c r="K66" s="91">
        <f ca="1">IF(ISNA($A66),"",IFERROR(SUMIFS(D_D[AWD],D_D[MT],5,D_D[CAT],SMS, D_D[EP],499,D_D[LOC],$A66)/$E66,0))</f>
        <v>0.15359168241965973</v>
      </c>
      <c r="L66" s="91">
        <f ca="1">IF(ISNA($A66),"",IFERROR(SUMIFS(D_D[AUT],D_D[MT],5,D_D[CAT],SMS, D_D[EP],499,D_D[LOC],$A66)/$E66,0))</f>
        <v>4.6313799621928164E-2</v>
      </c>
      <c r="M66" s="6"/>
    </row>
    <row r="67" spans="1:13" ht="12.75" x14ac:dyDescent="0.2">
      <c r="A67" s="143" t="str">
        <f t="shared" ca="1" si="9"/>
        <v>NY499</v>
      </c>
      <c r="B67" s="23">
        <v>54</v>
      </c>
      <c r="C67" s="151">
        <f t="shared" ca="1" si="14"/>
        <v>0</v>
      </c>
      <c r="D67" s="150" t="str">
        <f t="shared" ca="1" si="15"/>
        <v>New York-NWQ</v>
      </c>
      <c r="E67" s="89">
        <f ca="1">IF(ISNA($A67),"",IFERROR(SUMIFS(D_D[INV],D_D[MT],5,D_D[CAT],SMS, D_D[EP],499,D_D[LOC],$A67),0))</f>
        <v>6722</v>
      </c>
      <c r="F67" s="89">
        <f ca="1">IF(ISNA($A67),"",IFERROR(SUMIFS(D_D[BL],D_D[MT],5,D_D[CAT],SMS, D_D[EP],499,D_D[LOC],$A67),0))</f>
        <v>1315</v>
      </c>
      <c r="G67" s="91">
        <f t="shared" ca="1" si="16"/>
        <v>0.19562630169592382</v>
      </c>
      <c r="H67" s="91">
        <f ca="1">IF(ISNA($A67),"",IFERROR(SUMIFS(D_D[DEV],D_D[MT],5,D_D[CAT],SMS, D_D[EP],499,D_D[LOC],$A67)/$E67,0))</f>
        <v>4.1059208568878312E-2</v>
      </c>
      <c r="I67" s="91">
        <f ca="1">IF(ISNA($A67),"",IFERROR(SUMIFS(D_D[EVD],D_D[MT],5,D_D[CAT],SMS, D_D[EP],499,D_D[LOC],$A67)/$E67,0))</f>
        <v>0.71794108896161857</v>
      </c>
      <c r="J67" s="91">
        <f ca="1">IF(ISNA($A67),"",IFERROR(SUMIFS(D_D[DEC],D_D[MT],5,D_D[CAT],SMS, D_D[EP],499,D_D[LOC],$A67)/$E67,0))</f>
        <v>0.22255281166319549</v>
      </c>
      <c r="K67" s="91">
        <f ca="1">IF(ISNA($A67),"",IFERROR(SUMIFS(D_D[AWD],D_D[MT],5,D_D[CAT],SMS, D_D[EP],499,D_D[LOC],$A67)/$E67,0))</f>
        <v>1.8446890806307646E-2</v>
      </c>
      <c r="L67" s="91">
        <f ca="1">IF(ISNA($A67),"",IFERROR(SUMIFS(D_D[AUT],D_D[MT],5,D_D[CAT],SMS, D_D[EP],499,D_D[LOC],$A67)/$E67,0))</f>
        <v>0</v>
      </c>
      <c r="M67" s="6"/>
    </row>
    <row r="68" spans="1:13" ht="12.75" x14ac:dyDescent="0.2">
      <c r="A68" s="143" t="str">
        <f t="shared" ca="1" si="9"/>
        <v>OH100</v>
      </c>
      <c r="B68" s="23">
        <v>55</v>
      </c>
      <c r="C68" s="151" t="str">
        <f t="shared" ca="1" si="14"/>
        <v>Ohio</v>
      </c>
      <c r="D68" s="150" t="str">
        <f t="shared" ca="1" si="15"/>
        <v>Ohio-Total</v>
      </c>
      <c r="E68" s="89">
        <f ca="1">IF(ISNA($A68),"",IFERROR(SUMIFS(D_D[INV],D_D[MT],5,D_D[CAT],SMS, D_D[EP],499,D_D[LOC],$A68),0))</f>
        <v>10856</v>
      </c>
      <c r="F68" s="89">
        <f ca="1">IF(ISNA($A68),"",IFERROR(SUMIFS(D_D[BL],D_D[MT],5,D_D[CAT],SMS, D_D[EP],499,D_D[LOC],$A68),0))</f>
        <v>2250</v>
      </c>
      <c r="G68" s="91">
        <f t="shared" ca="1" si="16"/>
        <v>0.20725865880619013</v>
      </c>
      <c r="H68" s="91">
        <f ca="1">IF(ISNA($A68),"",IFERROR(SUMIFS(D_D[DEV],D_D[MT],5,D_D[CAT],SMS, D_D[EP],499,D_D[LOC],$A68)/$E68,0))</f>
        <v>8.2903463522476045E-2</v>
      </c>
      <c r="I68" s="91">
        <f ca="1">IF(ISNA($A68),"",IFERROR(SUMIFS(D_D[EVD],D_D[MT],5,D_D[CAT],SMS, D_D[EP],499,D_D[LOC],$A68)/$E68,0))</f>
        <v>0.64950257921886512</v>
      </c>
      <c r="J68" s="91">
        <f ca="1">IF(ISNA($A68),"",IFERROR(SUMIFS(D_D[DEC],D_D[MT],5,D_D[CAT],SMS, D_D[EP],499,D_D[LOC],$A68)/$E68,0))</f>
        <v>0.20163964627855563</v>
      </c>
      <c r="K68" s="91">
        <f ca="1">IF(ISNA($A68),"",IFERROR(SUMIFS(D_D[AWD],D_D[MT],5,D_D[CAT],SMS, D_D[EP],499,D_D[LOC],$A68)/$E68,0))</f>
        <v>5.5453205600589535E-2</v>
      </c>
      <c r="L68" s="91">
        <f ca="1">IF(ISNA($A68),"",IFERROR(SUMIFS(D_D[AUT],D_D[MT],5,D_D[CAT],SMS, D_D[EP],499,D_D[LOC],$A68)/$E68,0))</f>
        <v>1.0501105379513632E-2</v>
      </c>
      <c r="M68" s="6"/>
    </row>
    <row r="69" spans="1:13" ht="12.75" x14ac:dyDescent="0.2">
      <c r="A69" s="143" t="str">
        <f t="shared" ca="1" si="9"/>
        <v>OH325</v>
      </c>
      <c r="B69" s="23">
        <v>56</v>
      </c>
      <c r="C69" s="151">
        <f t="shared" ca="1" si="14"/>
        <v>0</v>
      </c>
      <c r="D69" s="150" t="str">
        <f t="shared" ca="1" si="15"/>
        <v>Cleveland RO</v>
      </c>
      <c r="E69" s="89">
        <f ca="1">IF(ISNA($A69),"",IFERROR(SUMIFS(D_D[INV],D_D[MT],5,D_D[CAT],SMS, D_D[EP],499,D_D[LOC],$A69),0))</f>
        <v>569</v>
      </c>
      <c r="F69" s="89">
        <f ca="1">IF(ISNA($A69),"",IFERROR(SUMIFS(D_D[BL],D_D[MT],5,D_D[CAT],SMS, D_D[EP],499,D_D[LOC],$A69),0))</f>
        <v>99</v>
      </c>
      <c r="G69" s="91">
        <f t="shared" ca="1" si="16"/>
        <v>0.17398945518453426</v>
      </c>
      <c r="H69" s="91">
        <f ca="1">IF(ISNA($A69),"",IFERROR(SUMIFS(D_D[DEV],D_D[MT],5,D_D[CAT],SMS, D_D[EP],499,D_D[LOC],$A69)/$E69,0))</f>
        <v>0.30052724077328646</v>
      </c>
      <c r="I69" s="91">
        <f ca="1">IF(ISNA($A69),"",IFERROR(SUMIFS(D_D[EVD],D_D[MT],5,D_D[CAT],SMS, D_D[EP],499,D_D[LOC],$A69)/$E69,0))</f>
        <v>0.51142355008787344</v>
      </c>
      <c r="J69" s="91">
        <f ca="1">IF(ISNA($A69),"",IFERROR(SUMIFS(D_D[DEC],D_D[MT],5,D_D[CAT],SMS, D_D[EP],499,D_D[LOC],$A69)/$E69,0))</f>
        <v>6.32688927943761E-2</v>
      </c>
      <c r="K69" s="91">
        <f ca="1">IF(ISNA($A69),"",IFERROR(SUMIFS(D_D[AWD],D_D[MT],5,D_D[CAT],SMS, D_D[EP],499,D_D[LOC],$A69)/$E69,0))</f>
        <v>8.9630931458699478E-2</v>
      </c>
      <c r="L69" s="91">
        <f ca="1">IF(ISNA($A69),"",IFERROR(SUMIFS(D_D[AUT],D_D[MT],5,D_D[CAT],SMS, D_D[EP],499,D_D[LOC],$A69)/$E69,0))</f>
        <v>3.5149384885764502E-2</v>
      </c>
      <c r="M69" s="6"/>
    </row>
    <row r="70" spans="1:13" ht="12.75" x14ac:dyDescent="0.2">
      <c r="A70" s="143" t="str">
        <f t="shared" ca="1" si="9"/>
        <v>OH-1</v>
      </c>
      <c r="B70" s="23">
        <v>57</v>
      </c>
      <c r="C70" s="151">
        <f t="shared" ca="1" si="14"/>
        <v>0</v>
      </c>
      <c r="D70" s="150" t="str">
        <f t="shared" ca="1" si="15"/>
        <v>Ohio-Other RO</v>
      </c>
      <c r="E70" s="89">
        <f ca="1">IF(ISNA($A70),"",IFERROR(SUMIFS(D_D[INV],D_D[MT],5,D_D[CAT],SMS, D_D[EP],499,D_D[LOC],$A70),0))</f>
        <v>2646</v>
      </c>
      <c r="F70" s="89">
        <f ca="1">IF(ISNA($A70),"",IFERROR(SUMIFS(D_D[BL],D_D[MT],5,D_D[CAT],SMS, D_D[EP],499,D_D[LOC],$A70),0))</f>
        <v>825</v>
      </c>
      <c r="G70" s="91">
        <f t="shared" ca="1" si="16"/>
        <v>0.31179138321995464</v>
      </c>
      <c r="H70" s="91">
        <f ca="1">IF(ISNA($A70),"",IFERROR(SUMIFS(D_D[DEV],D_D[MT],5,D_D[CAT],SMS, D_D[EP],499,D_D[LOC],$A70)/$E70,0))</f>
        <v>0.136432350718065</v>
      </c>
      <c r="I70" s="91">
        <f ca="1">IF(ISNA($A70),"",IFERROR(SUMIFS(D_D[EVD],D_D[MT],5,D_D[CAT],SMS, D_D[EP],499,D_D[LOC],$A70)/$E70,0))</f>
        <v>0.54686318972033254</v>
      </c>
      <c r="J70" s="91">
        <f ca="1">IF(ISNA($A70),"",IFERROR(SUMIFS(D_D[DEC],D_D[MT],5,D_D[CAT],SMS, D_D[EP],499,D_D[LOC],$A70)/$E70,0))</f>
        <v>0.13718820861678005</v>
      </c>
      <c r="K70" s="91">
        <f ca="1">IF(ISNA($A70),"",IFERROR(SUMIFS(D_D[AWD],D_D[MT],5,D_D[CAT],SMS, D_D[EP],499,D_D[LOC],$A70)/$E70,0))</f>
        <v>0.14399092970521543</v>
      </c>
      <c r="L70" s="91">
        <f ca="1">IF(ISNA($A70),"",IFERROR(SUMIFS(D_D[AUT],D_D[MT],5,D_D[CAT],SMS, D_D[EP],499,D_D[LOC],$A70)/$E70,0))</f>
        <v>3.5525321239606951E-2</v>
      </c>
      <c r="M70" s="6"/>
    </row>
    <row r="71" spans="1:13" ht="12.75" x14ac:dyDescent="0.2">
      <c r="A71" s="143" t="str">
        <f t="shared" ca="1" si="9"/>
        <v>OH499</v>
      </c>
      <c r="B71" s="23">
        <v>58</v>
      </c>
      <c r="C71" s="151">
        <f t="shared" ca="1" si="14"/>
        <v>0</v>
      </c>
      <c r="D71" s="150" t="str">
        <f t="shared" ca="1" si="15"/>
        <v>Ohio-NWQ</v>
      </c>
      <c r="E71" s="89">
        <f ca="1">IF(ISNA($A71),"",IFERROR(SUMIFS(D_D[INV],D_D[MT],5,D_D[CAT],SMS, D_D[EP],499,D_D[LOC],$A71),0))</f>
        <v>7641</v>
      </c>
      <c r="F71" s="89">
        <f ca="1">IF(ISNA($A71),"",IFERROR(SUMIFS(D_D[BL],D_D[MT],5,D_D[CAT],SMS, D_D[EP],499,D_D[LOC],$A71),0))</f>
        <v>1326</v>
      </c>
      <c r="G71" s="91">
        <f t="shared" ca="1" si="16"/>
        <v>0.1735374950922654</v>
      </c>
      <c r="H71" s="91">
        <f ca="1">IF(ISNA($A71),"",IFERROR(SUMIFS(D_D[DEV],D_D[MT],5,D_D[CAT],SMS, D_D[EP],499,D_D[LOC],$A71)/$E71,0))</f>
        <v>4.8161235440387383E-2</v>
      </c>
      <c r="I71" s="91">
        <f ca="1">IF(ISNA($A71),"",IFERROR(SUMIFS(D_D[EVD],D_D[MT],5,D_D[CAT],SMS, D_D[EP],499,D_D[LOC],$A71)/$E71,0))</f>
        <v>0.69532783667059284</v>
      </c>
      <c r="J71" s="91">
        <f ca="1">IF(ISNA($A71),"",IFERROR(SUMIFS(D_D[DEC],D_D[MT],5,D_D[CAT],SMS, D_D[EP],499,D_D[LOC],$A71)/$E71,0))</f>
        <v>0.23426253108231906</v>
      </c>
      <c r="K71" s="91">
        <f ca="1">IF(ISNA($A71),"",IFERROR(SUMIFS(D_D[AWD],D_D[MT],5,D_D[CAT],SMS, D_D[EP],499,D_D[LOC],$A71)/$E71,0))</f>
        <v>2.2248396806700693E-2</v>
      </c>
      <c r="L71" s="91">
        <f ca="1">IF(ISNA($A71),"",IFERROR(SUMIFS(D_D[AUT],D_D[MT],5,D_D[CAT],SMS, D_D[EP],499,D_D[LOC],$A71)/$E71,0))</f>
        <v>0</v>
      </c>
      <c r="M71" s="6"/>
    </row>
    <row r="72" spans="1:13" ht="12.75" x14ac:dyDescent="0.2">
      <c r="A72" s="143" t="str">
        <f t="shared" ca="1" si="9"/>
        <v>PA100</v>
      </c>
      <c r="B72" s="23">
        <v>59</v>
      </c>
      <c r="C72" s="151" t="str">
        <f t="shared" ca="1" si="14"/>
        <v>Pennsylvania</v>
      </c>
      <c r="D72" s="150" t="str">
        <f t="shared" ca="1" si="15"/>
        <v>Pennsylvania-Total</v>
      </c>
      <c r="E72" s="89">
        <f ca="1">IF(ISNA($A72),"",IFERROR(SUMIFS(D_D[INV],D_D[MT],5,D_D[CAT],SMS, D_D[EP],499,D_D[LOC],$A72),0))</f>
        <v>9966</v>
      </c>
      <c r="F72" s="89">
        <f ca="1">IF(ISNA($A72),"",IFERROR(SUMIFS(D_D[BL],D_D[MT],5,D_D[CAT],SMS, D_D[EP],499,D_D[LOC],$A72),0))</f>
        <v>2358</v>
      </c>
      <c r="G72" s="91">
        <f t="shared" ca="1" si="16"/>
        <v>0.2366044551475015</v>
      </c>
      <c r="H72" s="91">
        <f ca="1">IF(ISNA($A72),"",IFERROR(SUMIFS(D_D[DEV],D_D[MT],5,D_D[CAT],SMS, D_D[EP],499,D_D[LOC],$A72)/$E72,0))</f>
        <v>7.8767810555890022E-2</v>
      </c>
      <c r="I72" s="91">
        <f ca="1">IF(ISNA($A72),"",IFERROR(SUMIFS(D_D[EVD],D_D[MT],5,D_D[CAT],SMS, D_D[EP],499,D_D[LOC],$A72)/$E72,0))</f>
        <v>0.66345574954846476</v>
      </c>
      <c r="J72" s="91">
        <f ca="1">IF(ISNA($A72),"",IFERROR(SUMIFS(D_D[DEC],D_D[MT],5,D_D[CAT],SMS, D_D[EP],499,D_D[LOC],$A72)/$E72,0))</f>
        <v>0.19054786273329319</v>
      </c>
      <c r="K72" s="91">
        <f ca="1">IF(ISNA($A72),"",IFERROR(SUMIFS(D_D[AWD],D_D[MT],5,D_D[CAT],SMS, D_D[EP],499,D_D[LOC],$A72)/$E72,0))</f>
        <v>5.7696166967690143E-2</v>
      </c>
      <c r="L72" s="91">
        <f ca="1">IF(ISNA($A72),"",IFERROR(SUMIFS(D_D[AUT],D_D[MT],5,D_D[CAT],SMS, D_D[EP],499,D_D[LOC],$A72)/$E72,0))</f>
        <v>9.5324101946618507E-3</v>
      </c>
      <c r="M72" s="6"/>
    </row>
    <row r="73" spans="1:13" ht="12.75" x14ac:dyDescent="0.2">
      <c r="A73" s="143" t="str">
        <f t="shared" ca="1" si="9"/>
        <v>PA310</v>
      </c>
      <c r="B73" s="23">
        <v>60</v>
      </c>
      <c r="C73" s="151">
        <f t="shared" ca="1" si="14"/>
        <v>0</v>
      </c>
      <c r="D73" s="150" t="str">
        <f t="shared" ca="1" si="15"/>
        <v>Philadelphia RO</v>
      </c>
      <c r="E73" s="89">
        <f ca="1">IF(ISNA($A73),"",IFERROR(SUMIFS(D_D[INV],D_D[MT],5,D_D[CAT],SMS, D_D[EP],499,D_D[LOC],$A73),0))</f>
        <v>476</v>
      </c>
      <c r="F73" s="89">
        <f ca="1">IF(ISNA($A73),"",IFERROR(SUMIFS(D_D[BL],D_D[MT],5,D_D[CAT],SMS, D_D[EP],499,D_D[LOC],$A73),0))</f>
        <v>115</v>
      </c>
      <c r="G73" s="91">
        <f t="shared" ca="1" si="16"/>
        <v>0.24159663865546219</v>
      </c>
      <c r="H73" s="91">
        <f ca="1">IF(ISNA($A73),"",IFERROR(SUMIFS(D_D[DEV],D_D[MT],5,D_D[CAT],SMS, D_D[EP],499,D_D[LOC],$A73)/$E73,0))</f>
        <v>0.23529411764705882</v>
      </c>
      <c r="I73" s="91">
        <f ca="1">IF(ISNA($A73),"",IFERROR(SUMIFS(D_D[EVD],D_D[MT],5,D_D[CAT],SMS, D_D[EP],499,D_D[LOC],$A73)/$E73,0))</f>
        <v>0.46008403361344535</v>
      </c>
      <c r="J73" s="91">
        <f ca="1">IF(ISNA($A73),"",IFERROR(SUMIFS(D_D[DEC],D_D[MT],5,D_D[CAT],SMS, D_D[EP],499,D_D[LOC],$A73)/$E73,0))</f>
        <v>7.7731092436974791E-2</v>
      </c>
      <c r="K73" s="91">
        <f ca="1">IF(ISNA($A73),"",IFERROR(SUMIFS(D_D[AWD],D_D[MT],5,D_D[CAT],SMS, D_D[EP],499,D_D[LOC],$A73)/$E73,0))</f>
        <v>0.19327731092436976</v>
      </c>
      <c r="L73" s="91">
        <f ca="1">IF(ISNA($A73),"",IFERROR(SUMIFS(D_D[AUT],D_D[MT],5,D_D[CAT],SMS, D_D[EP],499,D_D[LOC],$A73)/$E73,0))</f>
        <v>3.3613445378151259E-2</v>
      </c>
      <c r="M73" s="6"/>
    </row>
    <row r="74" spans="1:13" ht="12.75" x14ac:dyDescent="0.2">
      <c r="A74" s="143" t="str">
        <f t="shared" ca="1" si="9"/>
        <v>PA311</v>
      </c>
      <c r="B74" s="23">
        <v>61</v>
      </c>
      <c r="C74" s="151">
        <f t="shared" ca="1" si="14"/>
        <v>0</v>
      </c>
      <c r="D74" s="150" t="str">
        <f t="shared" ca="1" si="15"/>
        <v>Pittsburgh RO</v>
      </c>
      <c r="E74" s="89">
        <f ca="1">IF(ISNA($A74),"",IFERROR(SUMIFS(D_D[INV],D_D[MT],5,D_D[CAT],SMS, D_D[EP],499,D_D[LOC],$A74),0))</f>
        <v>61</v>
      </c>
      <c r="F74" s="89">
        <f ca="1">IF(ISNA($A74),"",IFERROR(SUMIFS(D_D[BL],D_D[MT],5,D_D[CAT],SMS, D_D[EP],499,D_D[LOC],$A74),0))</f>
        <v>13</v>
      </c>
      <c r="G74" s="91">
        <f t="shared" ca="1" si="16"/>
        <v>0.21311475409836064</v>
      </c>
      <c r="H74" s="91">
        <f ca="1">IF(ISNA($A74),"",IFERROR(SUMIFS(D_D[DEV],D_D[MT],5,D_D[CAT],SMS, D_D[EP],499,D_D[LOC],$A74)/$E74,0))</f>
        <v>0.27868852459016391</v>
      </c>
      <c r="I74" s="91">
        <f ca="1">IF(ISNA($A74),"",IFERROR(SUMIFS(D_D[EVD],D_D[MT],5,D_D[CAT],SMS, D_D[EP],499,D_D[LOC],$A74)/$E74,0))</f>
        <v>0.42622950819672129</v>
      </c>
      <c r="J74" s="91">
        <f ca="1">IF(ISNA($A74),"",IFERROR(SUMIFS(D_D[DEC],D_D[MT],5,D_D[CAT],SMS, D_D[EP],499,D_D[LOC],$A74)/$E74,0))</f>
        <v>0.21311475409836064</v>
      </c>
      <c r="K74" s="91">
        <f ca="1">IF(ISNA($A74),"",IFERROR(SUMIFS(D_D[AWD],D_D[MT],5,D_D[CAT],SMS, D_D[EP],499,D_D[LOC],$A74)/$E74,0))</f>
        <v>4.9180327868852458E-2</v>
      </c>
      <c r="L74" s="91">
        <f ca="1">IF(ISNA($A74),"",IFERROR(SUMIFS(D_D[AUT],D_D[MT],5,D_D[CAT],SMS, D_D[EP],499,D_D[LOC],$A74)/$E74,0))</f>
        <v>3.2786885245901641E-2</v>
      </c>
      <c r="M74" s="6"/>
    </row>
    <row r="75" spans="1:13" ht="12.75" x14ac:dyDescent="0.2">
      <c r="A75" s="143" t="str">
        <f t="shared" ca="1" si="9"/>
        <v>PA-1</v>
      </c>
      <c r="B75" s="23">
        <v>62</v>
      </c>
      <c r="C75" s="151">
        <f t="shared" ca="1" si="14"/>
        <v>0</v>
      </c>
      <c r="D75" s="150" t="str">
        <f t="shared" ca="1" si="15"/>
        <v>Pennsylvania-Other RO</v>
      </c>
      <c r="E75" s="89">
        <f ca="1">IF(ISNA($A75),"",IFERROR(SUMIFS(D_D[INV],D_D[MT],5,D_D[CAT],SMS, D_D[EP],499,D_D[LOC],$A75),0))</f>
        <v>2432</v>
      </c>
      <c r="F75" s="89">
        <f ca="1">IF(ISNA($A75),"",IFERROR(SUMIFS(D_D[BL],D_D[MT],5,D_D[CAT],SMS, D_D[EP],499,D_D[LOC],$A75),0))</f>
        <v>842</v>
      </c>
      <c r="G75" s="91">
        <f t="shared" ca="1" si="16"/>
        <v>0.34621710526315791</v>
      </c>
      <c r="H75" s="91">
        <f ca="1">IF(ISNA($A75),"",IFERROR(SUMIFS(D_D[DEV],D_D[MT],5,D_D[CAT],SMS, D_D[EP],499,D_D[LOC],$A75)/$E75,0))</f>
        <v>0.12911184210526316</v>
      </c>
      <c r="I75" s="91">
        <f ca="1">IF(ISNA($A75),"",IFERROR(SUMIFS(D_D[EVD],D_D[MT],5,D_D[CAT],SMS, D_D[EP],499,D_D[LOC],$A75)/$E75,0))</f>
        <v>0.58141447368421051</v>
      </c>
      <c r="J75" s="91">
        <f ca="1">IF(ISNA($A75),"",IFERROR(SUMIFS(D_D[DEC],D_D[MT],5,D_D[CAT],SMS, D_D[EP],499,D_D[LOC],$A75)/$E75,0))</f>
        <v>0.13898026315789475</v>
      </c>
      <c r="K75" s="91">
        <f ca="1">IF(ISNA($A75),"",IFERROR(SUMIFS(D_D[AWD],D_D[MT],5,D_D[CAT],SMS, D_D[EP],499,D_D[LOC],$A75)/$E75,0))</f>
        <v>0.11883223684210527</v>
      </c>
      <c r="L75" s="91">
        <f ca="1">IF(ISNA($A75),"",IFERROR(SUMIFS(D_D[AUT],D_D[MT],5,D_D[CAT],SMS, D_D[EP],499,D_D[LOC],$A75)/$E75,0))</f>
        <v>3.1661184210526314E-2</v>
      </c>
      <c r="M75" s="6"/>
    </row>
    <row r="76" spans="1:13" ht="12.75" x14ac:dyDescent="0.2">
      <c r="A76" s="143" t="str">
        <f t="shared" ca="1" si="9"/>
        <v>PA499</v>
      </c>
      <c r="B76" s="23">
        <v>63</v>
      </c>
      <c r="C76" s="151">
        <f t="shared" ca="1" si="14"/>
        <v>0</v>
      </c>
      <c r="D76" s="150" t="str">
        <f t="shared" ca="1" si="15"/>
        <v>Pennsylvania-NWQ</v>
      </c>
      <c r="E76" s="89">
        <f ca="1">IF(ISNA($A76),"",IFERROR(SUMIFS(D_D[INV],D_D[MT],5,D_D[CAT],SMS, D_D[EP],499,D_D[LOC],$A76),0))</f>
        <v>6997</v>
      </c>
      <c r="F76" s="89">
        <f ca="1">IF(ISNA($A76),"",IFERROR(SUMIFS(D_D[BL],D_D[MT],5,D_D[CAT],SMS, D_D[EP],499,D_D[LOC],$A76),0))</f>
        <v>1388</v>
      </c>
      <c r="G76" s="91">
        <f t="shared" ca="1" si="16"/>
        <v>0.19837073031299129</v>
      </c>
      <c r="H76" s="91">
        <f ca="1">IF(ISNA($A76),"",IFERROR(SUMIFS(D_D[DEV],D_D[MT],5,D_D[CAT],SMS, D_D[EP],499,D_D[LOC],$A76)/$E76,0))</f>
        <v>4.8878090610261542E-2</v>
      </c>
      <c r="I76" s="91">
        <f ca="1">IF(ISNA($A76),"",IFERROR(SUMIFS(D_D[EVD],D_D[MT],5,D_D[CAT],SMS, D_D[EP],499,D_D[LOC],$A76)/$E76,0))</f>
        <v>0.70787480348720877</v>
      </c>
      <c r="J76" s="91">
        <f ca="1">IF(ISNA($A76),"",IFERROR(SUMIFS(D_D[DEC],D_D[MT],5,D_D[CAT],SMS, D_D[EP],499,D_D[LOC],$A76)/$E76,0))</f>
        <v>0.21594969272545378</v>
      </c>
      <c r="K76" s="91">
        <f ca="1">IF(ISNA($A76),"",IFERROR(SUMIFS(D_D[AWD],D_D[MT],5,D_D[CAT],SMS, D_D[EP],499,D_D[LOC],$A76)/$E76,0))</f>
        <v>2.7297413177075888E-2</v>
      </c>
      <c r="L76" s="91">
        <f ca="1">IF(ISNA($A76),"",IFERROR(SUMIFS(D_D[AUT],D_D[MT],5,D_D[CAT],SMS, D_D[EP],499,D_D[LOC],$A76)/$E76,0))</f>
        <v>0</v>
      </c>
      <c r="M76" s="6"/>
    </row>
    <row r="77" spans="1:13" ht="12.75" x14ac:dyDescent="0.2">
      <c r="A77" s="143" t="str">
        <f t="shared" ca="1" si="9"/>
        <v>RI100</v>
      </c>
      <c r="B77" s="23">
        <v>64</v>
      </c>
      <c r="C77" s="151" t="str">
        <f t="shared" ca="1" si="14"/>
        <v>Rhode Island</v>
      </c>
      <c r="D77" s="150" t="str">
        <f t="shared" ca="1" si="15"/>
        <v>Rhode Island-Total</v>
      </c>
      <c r="E77" s="89">
        <f ca="1">IF(ISNA($A77),"",IFERROR(SUMIFS(D_D[INV],D_D[MT],5,D_D[CAT],SMS, D_D[EP],499,D_D[LOC],$A77),0))</f>
        <v>822</v>
      </c>
      <c r="F77" s="89">
        <f ca="1">IF(ISNA($A77),"",IFERROR(SUMIFS(D_D[BL],D_D[MT],5,D_D[CAT],SMS, D_D[EP],499,D_D[LOC],$A77),0))</f>
        <v>181</v>
      </c>
      <c r="G77" s="91">
        <f t="shared" ca="1" si="16"/>
        <v>0.22019464720194648</v>
      </c>
      <c r="H77" s="91">
        <f ca="1">IF(ISNA($A77),"",IFERROR(SUMIFS(D_D[DEV],D_D[MT],5,D_D[CAT],SMS, D_D[EP],499,D_D[LOC],$A77)/$E77,0))</f>
        <v>7.1776155717761553E-2</v>
      </c>
      <c r="I77" s="91">
        <f ca="1">IF(ISNA($A77),"",IFERROR(SUMIFS(D_D[EVD],D_D[MT],5,D_D[CAT],SMS, D_D[EP],499,D_D[LOC],$A77)/$E77,0))</f>
        <v>0.64355231143552316</v>
      </c>
      <c r="J77" s="91">
        <f ca="1">IF(ISNA($A77),"",IFERROR(SUMIFS(D_D[DEC],D_D[MT],5,D_D[CAT],SMS, D_D[EP],499,D_D[LOC],$A77)/$E77,0))</f>
        <v>0.20924574209245742</v>
      </c>
      <c r="K77" s="91">
        <f ca="1">IF(ISNA($A77),"",IFERROR(SUMIFS(D_D[AWD],D_D[MT],5,D_D[CAT],SMS, D_D[EP],499,D_D[LOC],$A77)/$E77,0))</f>
        <v>6.4476885644768861E-2</v>
      </c>
      <c r="L77" s="91">
        <f ca="1">IF(ISNA($A77),"",IFERROR(SUMIFS(D_D[AUT],D_D[MT],5,D_D[CAT],SMS, D_D[EP],499,D_D[LOC],$A77)/$E77,0))</f>
        <v>1.0948905109489052E-2</v>
      </c>
      <c r="M77" s="6"/>
    </row>
    <row r="78" spans="1:13" ht="12.75" x14ac:dyDescent="0.2">
      <c r="A78" s="143" t="str">
        <f t="shared" ca="1" si="9"/>
        <v>RI304</v>
      </c>
      <c r="B78" s="23">
        <v>65</v>
      </c>
      <c r="C78" s="151">
        <f t="shared" ca="1" si="14"/>
        <v>0</v>
      </c>
      <c r="D78" s="150" t="str">
        <f t="shared" ca="1" si="15"/>
        <v>Providence RO</v>
      </c>
      <c r="E78" s="89">
        <f ca="1">IF(ISNA($A78),"",IFERROR(SUMIFS(D_D[INV],D_D[MT],5,D_D[CAT],SMS, D_D[EP],499,D_D[LOC],$A78),0))</f>
        <v>58</v>
      </c>
      <c r="F78" s="89">
        <f ca="1">IF(ISNA($A78),"",IFERROR(SUMIFS(D_D[BL],D_D[MT],5,D_D[CAT],SMS, D_D[EP],499,D_D[LOC],$A78),0))</f>
        <v>3</v>
      </c>
      <c r="G78" s="91">
        <f t="shared" ca="1" si="16"/>
        <v>5.1724137931034482E-2</v>
      </c>
      <c r="H78" s="91">
        <f ca="1">IF(ISNA($A78),"",IFERROR(SUMIFS(D_D[DEV],D_D[MT],5,D_D[CAT],SMS, D_D[EP],499,D_D[LOC],$A78)/$E78,0))</f>
        <v>0.41379310344827586</v>
      </c>
      <c r="I78" s="91">
        <f ca="1">IF(ISNA($A78),"",IFERROR(SUMIFS(D_D[EVD],D_D[MT],5,D_D[CAT],SMS, D_D[EP],499,D_D[LOC],$A78)/$E78,0))</f>
        <v>0.37931034482758619</v>
      </c>
      <c r="J78" s="91">
        <f ca="1">IF(ISNA($A78),"",IFERROR(SUMIFS(D_D[DEC],D_D[MT],5,D_D[CAT],SMS, D_D[EP],499,D_D[LOC],$A78)/$E78,0))</f>
        <v>0.1206896551724138</v>
      </c>
      <c r="K78" s="91">
        <f ca="1">IF(ISNA($A78),"",IFERROR(SUMIFS(D_D[AWD],D_D[MT],5,D_D[CAT],SMS, D_D[EP],499,D_D[LOC],$A78)/$E78,0))</f>
        <v>5.1724137931034482E-2</v>
      </c>
      <c r="L78" s="91">
        <f ca="1">IF(ISNA($A78),"",IFERROR(SUMIFS(D_D[AUT],D_D[MT],5,D_D[CAT],SMS, D_D[EP],499,D_D[LOC],$A78)/$E78,0))</f>
        <v>3.4482758620689655E-2</v>
      </c>
      <c r="M78" s="6"/>
    </row>
    <row r="79" spans="1:13" ht="12.75" x14ac:dyDescent="0.2">
      <c r="A79" s="143" t="str">
        <f t="shared" ca="1" si="9"/>
        <v>RI-1</v>
      </c>
      <c r="B79" s="23">
        <v>66</v>
      </c>
      <c r="C79" s="151">
        <f t="shared" ca="1" si="14"/>
        <v>0</v>
      </c>
      <c r="D79" s="150" t="str">
        <f t="shared" ca="1" si="15"/>
        <v>Rhode Island-Other RO</v>
      </c>
      <c r="E79" s="89">
        <f ca="1">IF(ISNA($A79),"",IFERROR(SUMIFS(D_D[INV],D_D[MT],5,D_D[CAT],SMS, D_D[EP],499,D_D[LOC],$A79),0))</f>
        <v>181</v>
      </c>
      <c r="F79" s="89">
        <f ca="1">IF(ISNA($A79),"",IFERROR(SUMIFS(D_D[BL],D_D[MT],5,D_D[CAT],SMS, D_D[EP],499,D_D[LOC],$A79),0))</f>
        <v>60</v>
      </c>
      <c r="G79" s="91">
        <f t="shared" ca="1" si="16"/>
        <v>0.33149171270718231</v>
      </c>
      <c r="H79" s="91">
        <f ca="1">IF(ISNA($A79),"",IFERROR(SUMIFS(D_D[DEV],D_D[MT],5,D_D[CAT],SMS, D_D[EP],499,D_D[LOC],$A79)/$E79,0))</f>
        <v>9.9447513812154692E-2</v>
      </c>
      <c r="I79" s="91">
        <f ca="1">IF(ISNA($A79),"",IFERROR(SUMIFS(D_D[EVD],D_D[MT],5,D_D[CAT],SMS, D_D[EP],499,D_D[LOC],$A79)/$E79,0))</f>
        <v>0.48066298342541436</v>
      </c>
      <c r="J79" s="91">
        <f ca="1">IF(ISNA($A79),"",IFERROR(SUMIFS(D_D[DEC],D_D[MT],5,D_D[CAT],SMS, D_D[EP],499,D_D[LOC],$A79)/$E79,0))</f>
        <v>0.16574585635359115</v>
      </c>
      <c r="K79" s="91">
        <f ca="1">IF(ISNA($A79),"",IFERROR(SUMIFS(D_D[AWD],D_D[MT],5,D_D[CAT],SMS, D_D[EP],499,D_D[LOC],$A79)/$E79,0))</f>
        <v>0.21546961325966851</v>
      </c>
      <c r="L79" s="91">
        <f ca="1">IF(ISNA($A79),"",IFERROR(SUMIFS(D_D[AUT],D_D[MT],5,D_D[CAT],SMS, D_D[EP],499,D_D[LOC],$A79)/$E79,0))</f>
        <v>3.8674033149171269E-2</v>
      </c>
      <c r="M79" s="6"/>
    </row>
    <row r="80" spans="1:13" ht="12.75" x14ac:dyDescent="0.2">
      <c r="A80" s="143" t="str">
        <f t="shared" ca="1" si="9"/>
        <v>RI499</v>
      </c>
      <c r="B80" s="23">
        <v>67</v>
      </c>
      <c r="C80" s="151">
        <f t="shared" ca="1" si="1"/>
        <v>0</v>
      </c>
      <c r="D80" s="150" t="str">
        <f t="shared" ca="1" si="12"/>
        <v>Rhode Island-NWQ</v>
      </c>
      <c r="E80" s="89">
        <f ca="1">IF(ISNA($A80),"",IFERROR(SUMIFS(D_D[INV],D_D[MT],5,D_D[CAT],SMS, D_D[EP],499,D_D[LOC],$A80),0))</f>
        <v>583</v>
      </c>
      <c r="F80" s="89">
        <f ca="1">IF(ISNA($A80),"",IFERROR(SUMIFS(D_D[BL],D_D[MT],5,D_D[CAT],SMS, D_D[EP],499,D_D[LOC],$A80),0))</f>
        <v>118</v>
      </c>
      <c r="G80" s="91">
        <f t="shared" ca="1" si="13"/>
        <v>0.20240137221269297</v>
      </c>
      <c r="H80" s="91">
        <f ca="1">IF(ISNA($A80),"",IFERROR(SUMIFS(D_D[DEV],D_D[MT],5,D_D[CAT],SMS, D_D[EP],499,D_D[LOC],$A80)/$E80,0))</f>
        <v>2.9159519725557463E-2</v>
      </c>
      <c r="I80" s="91">
        <f ca="1">IF(ISNA($A80),"",IFERROR(SUMIFS(D_D[EVD],D_D[MT],5,D_D[CAT],SMS, D_D[EP],499,D_D[LOC],$A80)/$E80,0))</f>
        <v>0.72041166380789023</v>
      </c>
      <c r="J80" s="91">
        <f ca="1">IF(ISNA($A80),"",IFERROR(SUMIFS(D_D[DEC],D_D[MT],5,D_D[CAT],SMS, D_D[EP],499,D_D[LOC],$A80)/$E80,0))</f>
        <v>0.23156089193825044</v>
      </c>
      <c r="K80" s="91">
        <f ca="1">IF(ISNA($A80),"",IFERROR(SUMIFS(D_D[AWD],D_D[MT],5,D_D[CAT],SMS, D_D[EP],499,D_D[LOC],$A80)/$E80,0))</f>
        <v>1.8867924528301886E-2</v>
      </c>
      <c r="L80" s="91">
        <f ca="1">IF(ISNA($A80),"",IFERROR(SUMIFS(D_D[AUT],D_D[MT],5,D_D[CAT],SMS, D_D[EP],499,D_D[LOC],$A80)/$E80,0))</f>
        <v>0</v>
      </c>
      <c r="M80" s="6"/>
    </row>
    <row r="81" spans="1:13" ht="12.75" x14ac:dyDescent="0.2">
      <c r="A81" s="143" t="str">
        <f t="shared" ca="1" si="9"/>
        <v>VT100</v>
      </c>
      <c r="B81" s="23">
        <v>68</v>
      </c>
      <c r="C81" s="151" t="str">
        <f t="shared" ref="C81:C88" ca="1" si="17">IFERROR(INDEX(INDIRECT(DS_NWQ),B81),"")</f>
        <v>Vermont</v>
      </c>
      <c r="D81" s="150" t="str">
        <f t="shared" ca="1" si="12"/>
        <v>Vermont-Total</v>
      </c>
      <c r="E81" s="89">
        <f ca="1">IF(ISNA($A81),"",IFERROR(SUMIFS(D_D[INV],D_D[MT],5,D_D[CAT],SMS, D_D[EP],499,D_D[LOC],$A81),0))</f>
        <v>486</v>
      </c>
      <c r="F81" s="89">
        <f ca="1">IF(ISNA($A81),"",IFERROR(SUMIFS(D_D[BL],D_D[MT],5,D_D[CAT],SMS, D_D[EP],499,D_D[LOC],$A81),0))</f>
        <v>134</v>
      </c>
      <c r="G81" s="91">
        <f t="shared" ca="1" si="13"/>
        <v>0.27572016460905352</v>
      </c>
      <c r="H81" s="91">
        <f ca="1">IF(ISNA($A81),"",IFERROR(SUMIFS(D_D[DEV],D_D[MT],5,D_D[CAT],SMS, D_D[EP],499,D_D[LOC],$A81)/$E81,0))</f>
        <v>5.7613168724279837E-2</v>
      </c>
      <c r="I81" s="91">
        <f ca="1">IF(ISNA($A81),"",IFERROR(SUMIFS(D_D[EVD],D_D[MT],5,D_D[CAT],SMS, D_D[EP],499,D_D[LOC],$A81)/$E81,0))</f>
        <v>0.71604938271604934</v>
      </c>
      <c r="J81" s="91">
        <f ca="1">IF(ISNA($A81),"",IFERROR(SUMIFS(D_D[DEC],D_D[MT],5,D_D[CAT],SMS, D_D[EP],499,D_D[LOC],$A81)/$E81,0))</f>
        <v>0.1728395061728395</v>
      </c>
      <c r="K81" s="91">
        <f ca="1">IF(ISNA($A81),"",IFERROR(SUMIFS(D_D[AWD],D_D[MT],5,D_D[CAT],SMS, D_D[EP],499,D_D[LOC],$A81)/$E81,0))</f>
        <v>4.3209876543209874E-2</v>
      </c>
      <c r="L81" s="91">
        <f ca="1">IF(ISNA($A81),"",IFERROR(SUMIFS(D_D[AUT],D_D[MT],5,D_D[CAT],SMS, D_D[EP],499,D_D[LOC],$A81)/$E81,0))</f>
        <v>1.0288065843621399E-2</v>
      </c>
      <c r="M81" s="6"/>
    </row>
    <row r="82" spans="1:13" ht="12.75" x14ac:dyDescent="0.2">
      <c r="A82" s="143" t="str">
        <f t="shared" ca="1" si="9"/>
        <v>VT405</v>
      </c>
      <c r="B82" s="23">
        <v>69</v>
      </c>
      <c r="C82" s="151">
        <f t="shared" ca="1" si="17"/>
        <v>0</v>
      </c>
      <c r="D82" s="150" t="str">
        <f t="shared" ref="D82:D88" ca="1" si="18">IFERROR(INDEX(INDIRECT(DS_NWQD),B82),"")</f>
        <v>White River RO</v>
      </c>
      <c r="E82" s="89">
        <f ca="1">IF(ISNA($A82),"",IFERROR(SUMIFS(D_D[INV],D_D[MT],5,D_D[CAT],SMS, D_D[EP],499,D_D[LOC],$A82),0))</f>
        <v>82</v>
      </c>
      <c r="F82" s="89">
        <f ca="1">IF(ISNA($A82),"",IFERROR(SUMIFS(D_D[BL],D_D[MT],5,D_D[CAT],SMS, D_D[EP],499,D_D[LOC],$A82),0))</f>
        <v>15</v>
      </c>
      <c r="G82" s="91">
        <f t="shared" ref="G82:G88" ca="1" si="19">IF(ISNA($A82),"",IFERROR(F82/E82,0))</f>
        <v>0.18292682926829268</v>
      </c>
      <c r="H82" s="91">
        <f ca="1">IF(ISNA($A82),"",IFERROR(SUMIFS(D_D[DEV],D_D[MT],5,D_D[CAT],SMS, D_D[EP],499,D_D[LOC],$A82)/$E82,0))</f>
        <v>9.7560975609756101E-2</v>
      </c>
      <c r="I82" s="91">
        <f ca="1">IF(ISNA($A82),"",IFERROR(SUMIFS(D_D[EVD],D_D[MT],5,D_D[CAT],SMS, D_D[EP],499,D_D[LOC],$A82)/$E82,0))</f>
        <v>0.74390243902439024</v>
      </c>
      <c r="J82" s="91">
        <f ca="1">IF(ISNA($A82),"",IFERROR(SUMIFS(D_D[DEC],D_D[MT],5,D_D[CAT],SMS, D_D[EP],499,D_D[LOC],$A82)/$E82,0))</f>
        <v>7.3170731707317069E-2</v>
      </c>
      <c r="K82" s="91">
        <f ca="1">IF(ISNA($A82),"",IFERROR(SUMIFS(D_D[AWD],D_D[MT],5,D_D[CAT],SMS, D_D[EP],499,D_D[LOC],$A82)/$E82,0))</f>
        <v>8.5365853658536592E-2</v>
      </c>
      <c r="L82" s="91">
        <f ca="1">IF(ISNA($A82),"",IFERROR(SUMIFS(D_D[AUT],D_D[MT],5,D_D[CAT],SMS, D_D[EP],499,D_D[LOC],$A82)/$E82,0))</f>
        <v>0</v>
      </c>
      <c r="M82" s="6"/>
    </row>
    <row r="83" spans="1:13" ht="12.75" x14ac:dyDescent="0.2">
      <c r="A83" s="143" t="str">
        <f t="shared" ca="1" si="9"/>
        <v>VT-1</v>
      </c>
      <c r="B83" s="23">
        <v>70</v>
      </c>
      <c r="C83" s="151">
        <f t="shared" ca="1" si="17"/>
        <v>0</v>
      </c>
      <c r="D83" s="150" t="str">
        <f t="shared" ca="1" si="18"/>
        <v>Vermont-Other RO</v>
      </c>
      <c r="E83" s="89">
        <f ca="1">IF(ISNA($A83),"",IFERROR(SUMIFS(D_D[INV],D_D[MT],5,D_D[CAT],SMS, D_D[EP],499,D_D[LOC],$A83),0))</f>
        <v>81</v>
      </c>
      <c r="F83" s="89">
        <f ca="1">IF(ISNA($A83),"",IFERROR(SUMIFS(D_D[BL],D_D[MT],5,D_D[CAT],SMS, D_D[EP],499,D_D[LOC],$A83),0))</f>
        <v>45</v>
      </c>
      <c r="G83" s="91">
        <f t="shared" ca="1" si="19"/>
        <v>0.55555555555555558</v>
      </c>
      <c r="H83" s="91">
        <f ca="1">IF(ISNA($A83),"",IFERROR(SUMIFS(D_D[DEV],D_D[MT],5,D_D[CAT],SMS, D_D[EP],499,D_D[LOC],$A83)/$E83,0))</f>
        <v>0.14814814814814814</v>
      </c>
      <c r="I83" s="91">
        <f ca="1">IF(ISNA($A83),"",IFERROR(SUMIFS(D_D[EVD],D_D[MT],5,D_D[CAT],SMS, D_D[EP],499,D_D[LOC],$A83)/$E83,0))</f>
        <v>0.50617283950617287</v>
      </c>
      <c r="J83" s="91">
        <f ca="1">IF(ISNA($A83),"",IFERROR(SUMIFS(D_D[DEC],D_D[MT],5,D_D[CAT],SMS, D_D[EP],499,D_D[LOC],$A83)/$E83,0))</f>
        <v>0.1728395061728395</v>
      </c>
      <c r="K83" s="91">
        <f ca="1">IF(ISNA($A83),"",IFERROR(SUMIFS(D_D[AWD],D_D[MT],5,D_D[CAT],SMS, D_D[EP],499,D_D[LOC],$A83)/$E83,0))</f>
        <v>0.1111111111111111</v>
      </c>
      <c r="L83" s="91">
        <f ca="1">IF(ISNA($A83),"",IFERROR(SUMIFS(D_D[AUT],D_D[MT],5,D_D[CAT],SMS, D_D[EP],499,D_D[LOC],$A83)/$E83,0))</f>
        <v>6.1728395061728392E-2</v>
      </c>
      <c r="M83" s="6"/>
    </row>
    <row r="84" spans="1:13" ht="12.75" x14ac:dyDescent="0.2">
      <c r="A84" s="143" t="str">
        <f t="shared" ca="1" si="9"/>
        <v>VT499</v>
      </c>
      <c r="B84" s="23">
        <v>71</v>
      </c>
      <c r="C84" s="151">
        <f t="shared" ca="1" si="17"/>
        <v>0</v>
      </c>
      <c r="D84" s="150" t="str">
        <f t="shared" ca="1" si="18"/>
        <v>Vermont-NWQ</v>
      </c>
      <c r="E84" s="89">
        <f ca="1">IF(ISNA($A84),"",IFERROR(SUMIFS(D_D[INV],D_D[MT],5,D_D[CAT],SMS, D_D[EP],499,D_D[LOC],$A84),0))</f>
        <v>323</v>
      </c>
      <c r="F84" s="89">
        <f ca="1">IF(ISNA($A84),"",IFERROR(SUMIFS(D_D[BL],D_D[MT],5,D_D[CAT],SMS, D_D[EP],499,D_D[LOC],$A84),0))</f>
        <v>74</v>
      </c>
      <c r="G84" s="91">
        <f t="shared" ca="1" si="19"/>
        <v>0.22910216718266255</v>
      </c>
      <c r="H84" s="91">
        <f ca="1">IF(ISNA($A84),"",IFERROR(SUMIFS(D_D[DEV],D_D[MT],5,D_D[CAT],SMS, D_D[EP],499,D_D[LOC],$A84)/$E84,0))</f>
        <v>2.4767801857585141E-2</v>
      </c>
      <c r="I84" s="91">
        <f ca="1">IF(ISNA($A84),"",IFERROR(SUMIFS(D_D[EVD],D_D[MT],5,D_D[CAT],SMS, D_D[EP],499,D_D[LOC],$A84)/$E84,0))</f>
        <v>0.76160990712074306</v>
      </c>
      <c r="J84" s="91">
        <f ca="1">IF(ISNA($A84),"",IFERROR(SUMIFS(D_D[DEC],D_D[MT],5,D_D[CAT],SMS, D_D[EP],499,D_D[LOC],$A84)/$E84,0))</f>
        <v>0.19814241486068113</v>
      </c>
      <c r="K84" s="91">
        <f ca="1">IF(ISNA($A84),"",IFERROR(SUMIFS(D_D[AWD],D_D[MT],5,D_D[CAT],SMS, D_D[EP],499,D_D[LOC],$A84)/$E84,0))</f>
        <v>1.5479876160990712E-2</v>
      </c>
      <c r="L84" s="91">
        <f ca="1">IF(ISNA($A84),"",IFERROR(SUMIFS(D_D[AUT],D_D[MT],5,D_D[CAT],SMS, D_D[EP],499,D_D[LOC],$A84)/$E84,0))</f>
        <v>0</v>
      </c>
      <c r="M84" s="6"/>
    </row>
    <row r="85" spans="1:13" ht="12.75" x14ac:dyDescent="0.2">
      <c r="A85" s="143" t="str">
        <f t="shared" ca="1" si="9"/>
        <v>WI100</v>
      </c>
      <c r="B85" s="23">
        <v>72</v>
      </c>
      <c r="C85" s="151" t="str">
        <f t="shared" ca="1" si="17"/>
        <v>Wisconsin</v>
      </c>
      <c r="D85" s="150" t="str">
        <f t="shared" ca="1" si="18"/>
        <v>Wisconsin-Total</v>
      </c>
      <c r="E85" s="89">
        <f ca="1">IF(ISNA($A85),"",IFERROR(SUMIFS(D_D[INV],D_D[MT],5,D_D[CAT],SMS, D_D[EP],499,D_D[LOC],$A85),0))</f>
        <v>4351</v>
      </c>
      <c r="F85" s="89">
        <f ca="1">IF(ISNA($A85),"",IFERROR(SUMIFS(D_D[BL],D_D[MT],5,D_D[CAT],SMS, D_D[EP],499,D_D[LOC],$A85),0))</f>
        <v>939</v>
      </c>
      <c r="G85" s="91">
        <f t="shared" ca="1" si="19"/>
        <v>0.21581245690645828</v>
      </c>
      <c r="H85" s="91">
        <f ca="1">IF(ISNA($A85),"",IFERROR(SUMIFS(D_D[DEV],D_D[MT],5,D_D[CAT],SMS, D_D[EP],499,D_D[LOC],$A85)/$E85,0))</f>
        <v>6.5502183406113537E-2</v>
      </c>
      <c r="I85" s="91">
        <f ca="1">IF(ISNA($A85),"",IFERROR(SUMIFS(D_D[EVD],D_D[MT],5,D_D[CAT],SMS, D_D[EP],499,D_D[LOC],$A85)/$E85,0))</f>
        <v>0.66881176740979087</v>
      </c>
      <c r="J85" s="91">
        <f ca="1">IF(ISNA($A85),"",IFERROR(SUMIFS(D_D[DEC],D_D[MT],5,D_D[CAT],SMS, D_D[EP],499,D_D[LOC],$A85)/$E85,0))</f>
        <v>0.19857504022063893</v>
      </c>
      <c r="K85" s="91">
        <f ca="1">IF(ISNA($A85),"",IFERROR(SUMIFS(D_D[AWD],D_D[MT],5,D_D[CAT],SMS, D_D[EP],499,D_D[LOC],$A85)/$E85,0))</f>
        <v>5.8837048954263386E-2</v>
      </c>
      <c r="L85" s="91">
        <f ca="1">IF(ISNA($A85),"",IFERROR(SUMIFS(D_D[AUT],D_D[MT],5,D_D[CAT],SMS, D_D[EP],499,D_D[LOC],$A85)/$E85,0))</f>
        <v>8.2739600091932888E-3</v>
      </c>
      <c r="M85" s="6"/>
    </row>
    <row r="86" spans="1:13" ht="12.75" x14ac:dyDescent="0.2">
      <c r="A86" s="143" t="str">
        <f t="shared" ca="1" si="9"/>
        <v>WI330</v>
      </c>
      <c r="B86" s="23">
        <v>73</v>
      </c>
      <c r="C86" s="151">
        <f t="shared" ca="1" si="17"/>
        <v>0</v>
      </c>
      <c r="D86" s="150" t="str">
        <f t="shared" ca="1" si="18"/>
        <v>Milwaukee RO</v>
      </c>
      <c r="E86" s="89">
        <f ca="1">IF(ISNA($A86),"",IFERROR(SUMIFS(D_D[INV],D_D[MT],5,D_D[CAT],SMS, D_D[EP],499,D_D[LOC],$A86),0))</f>
        <v>230</v>
      </c>
      <c r="F86" s="89">
        <f ca="1">IF(ISNA($A86),"",IFERROR(SUMIFS(D_D[BL],D_D[MT],5,D_D[CAT],SMS, D_D[EP],499,D_D[LOC],$A86),0))</f>
        <v>39</v>
      </c>
      <c r="G86" s="91">
        <f t="shared" ca="1" si="19"/>
        <v>0.16956521739130434</v>
      </c>
      <c r="H86" s="91">
        <f ca="1">IF(ISNA($A86),"",IFERROR(SUMIFS(D_D[DEV],D_D[MT],5,D_D[CAT],SMS, D_D[EP],499,D_D[LOC],$A86)/$E86,0))</f>
        <v>0.26521739130434785</v>
      </c>
      <c r="I86" s="91">
        <f ca="1">IF(ISNA($A86),"",IFERROR(SUMIFS(D_D[EVD],D_D[MT],5,D_D[CAT],SMS, D_D[EP],499,D_D[LOC],$A86)/$E86,0))</f>
        <v>0.61739130434782608</v>
      </c>
      <c r="J86" s="91">
        <f ca="1">IF(ISNA($A86),"",IFERROR(SUMIFS(D_D[DEC],D_D[MT],5,D_D[CAT],SMS, D_D[EP],499,D_D[LOC],$A86)/$E86,0))</f>
        <v>6.9565217391304349E-2</v>
      </c>
      <c r="K86" s="91">
        <f ca="1">IF(ISNA($A86),"",IFERROR(SUMIFS(D_D[AWD],D_D[MT],5,D_D[CAT],SMS, D_D[EP],499,D_D[LOC],$A86)/$E86,0))</f>
        <v>3.9130434782608699E-2</v>
      </c>
      <c r="L86" s="91">
        <f ca="1">IF(ISNA($A86),"",IFERROR(SUMIFS(D_D[AUT],D_D[MT],5,D_D[CAT],SMS, D_D[EP],499,D_D[LOC],$A86)/$E86,0))</f>
        <v>8.6956521739130436E-3</v>
      </c>
      <c r="M86" s="6"/>
    </row>
    <row r="87" spans="1:13" ht="12.75" x14ac:dyDescent="0.2">
      <c r="A87" s="143" t="str">
        <f t="shared" ca="1" si="9"/>
        <v>WI-1</v>
      </c>
      <c r="B87" s="23">
        <v>74</v>
      </c>
      <c r="C87" s="151">
        <f t="shared" ca="1" si="17"/>
        <v>0</v>
      </c>
      <c r="D87" s="150" t="str">
        <f t="shared" ca="1" si="18"/>
        <v>Wisconsin-Other RO</v>
      </c>
      <c r="E87" s="89">
        <f ca="1">IF(ISNA($A87),"",IFERROR(SUMIFS(D_D[INV],D_D[MT],5,D_D[CAT],SMS, D_D[EP],499,D_D[LOC],$A87),0))</f>
        <v>1102</v>
      </c>
      <c r="F87" s="89">
        <f ca="1">IF(ISNA($A87),"",IFERROR(SUMIFS(D_D[BL],D_D[MT],5,D_D[CAT],SMS, D_D[EP],499,D_D[LOC],$A87),0))</f>
        <v>371</v>
      </c>
      <c r="G87" s="91">
        <f t="shared" ca="1" si="19"/>
        <v>0.33666061705989109</v>
      </c>
      <c r="H87" s="91">
        <f ca="1">IF(ISNA($A87),"",IFERROR(SUMIFS(D_D[DEV],D_D[MT],5,D_D[CAT],SMS, D_D[EP],499,D_D[LOC],$A87)/$E87,0))</f>
        <v>9.6188747731397461E-2</v>
      </c>
      <c r="I87" s="91">
        <f ca="1">IF(ISNA($A87),"",IFERROR(SUMIFS(D_D[EVD],D_D[MT],5,D_D[CAT],SMS, D_D[EP],499,D_D[LOC],$A87)/$E87,0))</f>
        <v>0.53448275862068961</v>
      </c>
      <c r="J87" s="91">
        <f ca="1">IF(ISNA($A87),"",IFERROR(SUMIFS(D_D[DEC],D_D[MT],5,D_D[CAT],SMS, D_D[EP],499,D_D[LOC],$A87)/$E87,0))</f>
        <v>0.15970961887477314</v>
      </c>
      <c r="K87" s="91">
        <f ca="1">IF(ISNA($A87),"",IFERROR(SUMIFS(D_D[AWD],D_D[MT],5,D_D[CAT],SMS, D_D[EP],499,D_D[LOC],$A87)/$E87,0))</f>
        <v>0.17876588021778583</v>
      </c>
      <c r="L87" s="91">
        <f ca="1">IF(ISNA($A87),"",IFERROR(SUMIFS(D_D[AUT],D_D[MT],5,D_D[CAT],SMS, D_D[EP],499,D_D[LOC],$A87)/$E87,0))</f>
        <v>3.0852994555353903E-2</v>
      </c>
      <c r="M87" s="6"/>
    </row>
    <row r="88" spans="1:13" ht="12.75" x14ac:dyDescent="0.2">
      <c r="A88" s="143" t="str">
        <f t="shared" ca="1" si="9"/>
        <v>WI499</v>
      </c>
      <c r="B88" s="23">
        <v>75</v>
      </c>
      <c r="C88" s="151">
        <f t="shared" ca="1" si="17"/>
        <v>0</v>
      </c>
      <c r="D88" s="150" t="str">
        <f t="shared" ca="1" si="18"/>
        <v>Wisconsin-NWQ</v>
      </c>
      <c r="E88" s="89">
        <f ca="1">IF(ISNA($A88),"",IFERROR(SUMIFS(D_D[INV],D_D[MT],5,D_D[CAT],SMS, D_D[EP],499,D_D[LOC],$A88),0))</f>
        <v>3019</v>
      </c>
      <c r="F88" s="89">
        <f ca="1">IF(ISNA($A88),"",IFERROR(SUMIFS(D_D[BL],D_D[MT],5,D_D[CAT],SMS, D_D[EP],499,D_D[LOC],$A88),0))</f>
        <v>529</v>
      </c>
      <c r="G88" s="91">
        <f t="shared" ca="1" si="19"/>
        <v>0.1752235839682014</v>
      </c>
      <c r="H88" s="91">
        <f ca="1">IF(ISNA($A88),"",IFERROR(SUMIFS(D_D[DEV],D_D[MT],5,D_D[CAT],SMS, D_D[EP],499,D_D[LOC],$A88)/$E88,0))</f>
        <v>3.9085789996687645E-2</v>
      </c>
      <c r="I88" s="91">
        <f ca="1">IF(ISNA($A88),"",IFERROR(SUMIFS(D_D[EVD],D_D[MT],5,D_D[CAT],SMS, D_D[EP],499,D_D[LOC],$A88)/$E88,0))</f>
        <v>0.72176217290493538</v>
      </c>
      <c r="J88" s="91">
        <f ca="1">IF(ISNA($A88),"",IFERROR(SUMIFS(D_D[DEC],D_D[MT],5,D_D[CAT],SMS, D_D[EP],499,D_D[LOC],$A88)/$E88,0))</f>
        <v>0.22259026167605167</v>
      </c>
      <c r="K88" s="91">
        <f ca="1">IF(ISNA($A88),"",IFERROR(SUMIFS(D_D[AWD],D_D[MT],5,D_D[CAT],SMS, D_D[EP],499,D_D[LOC],$A88)/$E88,0))</f>
        <v>1.6561775422325273E-2</v>
      </c>
      <c r="L88" s="91">
        <f ca="1">IF(ISNA($A88),"",IFERROR(SUMIFS(D_D[AUT],D_D[MT],5,D_D[CAT],SMS, D_D[EP],499,D_D[LOC],$A88)/$E88,0))</f>
        <v>0</v>
      </c>
      <c r="M88" s="6"/>
    </row>
    <row r="89" spans="1:13" ht="12.75" x14ac:dyDescent="0.2">
      <c r="A89" s="143" t="e">
        <f t="shared" ca="1" si="9"/>
        <v>#N/A</v>
      </c>
      <c r="B89" s="23">
        <v>77</v>
      </c>
      <c r="C89" s="151" t="str">
        <f t="shared" ca="1" si="1"/>
        <v/>
      </c>
      <c r="D89" s="150" t="str">
        <f t="shared" ref="D89" ca="1" si="20">IFERROR(INDEX(INDIRECT(DS_NWQD),B89),"")</f>
        <v/>
      </c>
      <c r="E89" s="89" t="str">
        <f ca="1">IF(ISNA($A89),"",IFERROR(SUMIFS(D_D[INV],D_D[MT],5,D_D[CAT],SMS, D_D[EP],499,D_D[LOC],$A89),0))</f>
        <v/>
      </c>
      <c r="F89" s="89" t="str">
        <f ca="1">IF(ISNA($A89),"",IFERROR(SUMIFS(D_D[BL],D_D[MT],5,D_D[CAT],SMS, D_D[EP],499,D_D[LOC],$A89),0))</f>
        <v/>
      </c>
      <c r="G89" s="91" t="str">
        <f t="shared" ref="G89" ca="1" si="21">IF(ISNA($A89),"",IFERROR(F89/E89,0))</f>
        <v/>
      </c>
      <c r="H89" s="91" t="str">
        <f ca="1">IF(ISNA($A89),"",IFERROR(SUMIFS(D_D[DEV],D_D[MT],5,D_D[CAT],SMS, D_D[EP],499,D_D[LOC],$A89)/$E89,0))</f>
        <v/>
      </c>
      <c r="I89" s="91" t="str">
        <f ca="1">IF(ISNA($A89),"",IFERROR(SUMIFS(D_D[EVD],D_D[MT],5,D_D[CAT],SMS, D_D[EP],499,D_D[LOC],$A89)/$E89,0))</f>
        <v/>
      </c>
      <c r="J89" s="91" t="str">
        <f ca="1">IF(ISNA($A89),"",IFERROR(SUMIFS(D_D[DEC],D_D[MT],5,D_D[CAT],SMS, D_D[EP],499,D_D[LOC],$A89)/$E89,0))</f>
        <v/>
      </c>
      <c r="K89" s="91" t="str">
        <f ca="1">IF(ISNA($A89),"",IFERROR(SUMIFS(D_D[AWD],D_D[MT],5,D_D[CAT],SMS, D_D[EP],499,D_D[LOC],$A89)/$E89,0))</f>
        <v/>
      </c>
      <c r="L89" s="91" t="str">
        <f ca="1">IF(ISNA($A89),"",IFERROR(SUMIFS(D_D[AUT],D_D[MT],5,D_D[CAT],SMS, D_D[EP],499,D_D[LOC],$A89)/$E89,0))</f>
        <v/>
      </c>
      <c r="M89" s="6"/>
    </row>
    <row r="90" spans="1:13" ht="12.75" hidden="1" x14ac:dyDescent="0.2">
      <c r="A90" s="110"/>
      <c r="B90" s="23"/>
      <c r="C90" s="139"/>
      <c r="D90" s="140"/>
      <c r="E90" s="141"/>
      <c r="F90" s="141"/>
      <c r="G90" s="142"/>
      <c r="H90" s="142"/>
      <c r="I90" s="142"/>
      <c r="J90" s="142"/>
      <c r="K90" s="142"/>
      <c r="L90" s="142"/>
      <c r="M90" s="6"/>
    </row>
    <row r="91" spans="1:13" ht="12.75" hidden="1" x14ac:dyDescent="0.2">
      <c r="A91" s="110"/>
      <c r="B91" s="23"/>
      <c r="C91" s="139"/>
      <c r="D91" s="140"/>
      <c r="E91" s="141"/>
      <c r="F91" s="141"/>
      <c r="G91" s="142"/>
      <c r="H91" s="142"/>
      <c r="I91" s="142"/>
      <c r="J91" s="142"/>
      <c r="K91" s="142"/>
      <c r="L91" s="142"/>
      <c r="M91" s="6"/>
    </row>
    <row r="92" spans="1:13" ht="12.75" hidden="1" x14ac:dyDescent="0.2">
      <c r="A92" s="110"/>
      <c r="B92" s="23"/>
      <c r="C92" s="139"/>
      <c r="D92" s="140"/>
      <c r="E92" s="141"/>
      <c r="F92" s="141"/>
      <c r="G92" s="142"/>
      <c r="H92" s="142"/>
      <c r="I92" s="142"/>
      <c r="J92" s="142"/>
      <c r="K92" s="142"/>
      <c r="L92" s="142"/>
      <c r="M92" s="6"/>
    </row>
    <row r="93" spans="1:13" ht="12.75" hidden="1" x14ac:dyDescent="0.2">
      <c r="A93" s="120"/>
      <c r="B93" s="23"/>
      <c r="C93" s="139"/>
      <c r="D93" s="140"/>
      <c r="E93" s="141"/>
      <c r="F93" s="141"/>
      <c r="G93" s="142"/>
      <c r="H93" s="142"/>
      <c r="I93" s="142"/>
      <c r="J93" s="142"/>
      <c r="K93" s="142"/>
      <c r="L93" s="142"/>
      <c r="M93" s="6"/>
    </row>
    <row r="94" spans="1:13" ht="12.75" hidden="1" x14ac:dyDescent="0.2">
      <c r="A94" s="120"/>
      <c r="B94" s="23"/>
      <c r="C94" s="139"/>
      <c r="D94" s="140"/>
      <c r="E94" s="141"/>
      <c r="F94" s="141"/>
      <c r="G94" s="142"/>
      <c r="H94" s="142"/>
      <c r="I94" s="142"/>
      <c r="J94" s="142"/>
      <c r="K94" s="142"/>
      <c r="L94" s="142"/>
      <c r="M94" s="6"/>
    </row>
    <row r="95" spans="1:13" ht="12.75" hidden="1" x14ac:dyDescent="0.2">
      <c r="A95" s="120"/>
      <c r="B95" s="23"/>
      <c r="C95" s="139"/>
      <c r="D95" s="140"/>
      <c r="E95" s="141"/>
      <c r="F95" s="141"/>
      <c r="G95" s="142"/>
      <c r="H95" s="142"/>
      <c r="I95" s="142"/>
      <c r="J95" s="142"/>
      <c r="K95" s="142"/>
      <c r="L95" s="142"/>
      <c r="M95" s="6"/>
    </row>
    <row r="96" spans="1:13" ht="12.75" hidden="1" x14ac:dyDescent="0.2">
      <c r="A96" s="120"/>
      <c r="B96" s="23"/>
      <c r="C96" s="139"/>
      <c r="D96" s="140"/>
      <c r="E96" s="141"/>
      <c r="F96" s="141"/>
      <c r="G96" s="142"/>
      <c r="H96" s="142"/>
      <c r="I96" s="142"/>
      <c r="J96" s="142"/>
      <c r="K96" s="142"/>
      <c r="L96" s="142"/>
      <c r="M96" s="6"/>
    </row>
    <row r="97" spans="2:13" ht="8.1" customHeight="1" x14ac:dyDescent="0.2">
      <c r="B97" s="4"/>
      <c r="C97" s="5"/>
      <c r="D97" s="5"/>
      <c r="E97" s="5"/>
      <c r="F97" s="5"/>
      <c r="G97" s="5"/>
      <c r="H97" s="5"/>
      <c r="I97" s="5"/>
      <c r="J97" s="5"/>
      <c r="K97" s="5"/>
      <c r="L97" s="5"/>
      <c r="M97" s="6"/>
    </row>
    <row r="98" spans="2:13" ht="12.75" hidden="1" customHeight="1" x14ac:dyDescent="0.2"/>
    <row r="99" spans="2:13" ht="12.75" hidden="1" customHeight="1" x14ac:dyDescent="0.2"/>
    <row r="100" spans="2:13" ht="12.75" hidden="1" customHeight="1" x14ac:dyDescent="0.2"/>
  </sheetData>
  <sheetProtection autoFilter="0"/>
  <protectedRanges>
    <protectedRange sqref="E14:L96" name="SOJ"/>
    <protectedRange sqref="E13:L13" name="SOJ_2"/>
    <protectedRange sqref="E12:L12" name="SOJ_1_1"/>
  </protectedRanges>
  <mergeCells count="16">
    <mergeCell ref="J9:J11"/>
    <mergeCell ref="K9:K11"/>
    <mergeCell ref="L9:L11"/>
    <mergeCell ref="E9:E11"/>
    <mergeCell ref="F9:F11"/>
    <mergeCell ref="G9:G11"/>
    <mergeCell ref="H9:H11"/>
    <mergeCell ref="I9:I11"/>
    <mergeCell ref="E8:G8"/>
    <mergeCell ref="H8:L8"/>
    <mergeCell ref="J2:L2"/>
    <mergeCell ref="J3:L3"/>
    <mergeCell ref="E2:I2"/>
    <mergeCell ref="E3:I3"/>
    <mergeCell ref="J6:L6"/>
    <mergeCell ref="E4:I5"/>
  </mergeCells>
  <conditionalFormatting sqref="C14:C62 C80 C89:C96">
    <cfRule type="cellIs" dxfId="494" priority="8" operator="equal">
      <formula>0</formula>
    </cfRule>
  </conditionalFormatting>
  <conditionalFormatting sqref="C63:C66">
    <cfRule type="cellIs" dxfId="493" priority="7" operator="equal">
      <formula>0</formula>
    </cfRule>
  </conditionalFormatting>
  <conditionalFormatting sqref="C67:C70">
    <cfRule type="cellIs" dxfId="492" priority="6" operator="equal">
      <formula>0</formula>
    </cfRule>
  </conditionalFormatting>
  <conditionalFormatting sqref="C71">
    <cfRule type="cellIs" dxfId="491" priority="5" operator="equal">
      <formula>0</formula>
    </cfRule>
  </conditionalFormatting>
  <conditionalFormatting sqref="C72:C75">
    <cfRule type="cellIs" dxfId="490" priority="4" operator="equal">
      <formula>0</formula>
    </cfRule>
  </conditionalFormatting>
  <conditionalFormatting sqref="C76:C79">
    <cfRule type="cellIs" dxfId="489" priority="3" operator="equal">
      <formula>0</formula>
    </cfRule>
  </conditionalFormatting>
  <conditionalFormatting sqref="C81:C84">
    <cfRule type="cellIs" dxfId="488" priority="2" operator="equal">
      <formula>0</formula>
    </cfRule>
  </conditionalFormatting>
  <conditionalFormatting sqref="C85:C88">
    <cfRule type="cellIs" dxfId="487" priority="1" operator="equal">
      <formula>0</formula>
    </cfRule>
  </conditionalFormatting>
  <hyperlinks>
    <hyperlink ref="J6:L6" location="Legend!A1" display="Life Cycle Metrics defined on Legend tab" xr:uid="{00000000-0004-0000-0600-000000000000}"/>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1857" r:id="rId4" name="Option Button 1">
              <controlPr defaultSize="0" autoFill="0" autoLine="0" autoPict="0">
                <anchor>
                  <from>
                    <xdr:col>2</xdr:col>
                    <xdr:colOff>85725</xdr:colOff>
                    <xdr:row>1</xdr:row>
                    <xdr:rowOff>180975</xdr:rowOff>
                  </from>
                  <to>
                    <xdr:col>2</xdr:col>
                    <xdr:colOff>1104900</xdr:colOff>
                    <xdr:row>3</xdr:row>
                    <xdr:rowOff>0</xdr:rowOff>
                  </to>
                </anchor>
              </controlPr>
            </control>
          </mc:Choice>
        </mc:AlternateContent>
        <mc:AlternateContent xmlns:mc="http://schemas.openxmlformats.org/markup-compatibility/2006">
          <mc:Choice Requires="x14">
            <control shapeId="121858" r:id="rId5" name="Option Button 2">
              <controlPr defaultSize="0" autoFill="0" autoLine="0" autoPict="0">
                <anchor>
                  <from>
                    <xdr:col>2</xdr:col>
                    <xdr:colOff>85725</xdr:colOff>
                    <xdr:row>2</xdr:row>
                    <xdr:rowOff>171450</xdr:rowOff>
                  </from>
                  <to>
                    <xdr:col>2</xdr:col>
                    <xdr:colOff>1104900</xdr:colOff>
                    <xdr:row>3</xdr:row>
                    <xdr:rowOff>180975</xdr:rowOff>
                  </to>
                </anchor>
              </controlPr>
            </control>
          </mc:Choice>
        </mc:AlternateContent>
        <mc:AlternateContent xmlns:mc="http://schemas.openxmlformats.org/markup-compatibility/2006">
          <mc:Choice Requires="x14">
            <control shapeId="121859"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21860" r:id="rId7" name="Option Button 4">
              <controlPr defaultSize="0" autoFill="0" autoLine="0" autoPict="0">
                <anchor>
                  <from>
                    <xdr:col>2</xdr:col>
                    <xdr:colOff>85725</xdr:colOff>
                    <xdr:row>3</xdr:row>
                    <xdr:rowOff>171450</xdr:rowOff>
                  </from>
                  <to>
                    <xdr:col>2</xdr:col>
                    <xdr:colOff>1104900</xdr:colOff>
                    <xdr:row>4</xdr:row>
                    <xdr:rowOff>180975</xdr:rowOff>
                  </to>
                </anchor>
              </controlPr>
            </control>
          </mc:Choice>
        </mc:AlternateContent>
        <mc:AlternateContent xmlns:mc="http://schemas.openxmlformats.org/markup-compatibility/2006">
          <mc:Choice Requires="x14">
            <control shapeId="121861" r:id="rId8" name="Option Button 5">
              <controlPr defaultSize="0" autoFill="0" autoLine="0" autoPict="0">
                <anchor>
                  <from>
                    <xdr:col>2</xdr:col>
                    <xdr:colOff>85725</xdr:colOff>
                    <xdr:row>4</xdr:row>
                    <xdr:rowOff>161925</xdr:rowOff>
                  </from>
                  <to>
                    <xdr:col>2</xdr:col>
                    <xdr:colOff>1104900</xdr:colOff>
                    <xdr:row>5</xdr:row>
                    <xdr:rowOff>171450</xdr:rowOff>
                  </to>
                </anchor>
              </controlPr>
            </control>
          </mc:Choice>
        </mc:AlternateContent>
        <mc:AlternateContent xmlns:mc="http://schemas.openxmlformats.org/markup-compatibility/2006">
          <mc:Choice Requires="x14">
            <control shapeId="121862" r:id="rId9" name="Option Button 6">
              <controlPr defaultSize="0" autoFill="0" autoLine="0" autoPict="0">
                <anchor>
                  <from>
                    <xdr:col>2</xdr:col>
                    <xdr:colOff>85725</xdr:colOff>
                    <xdr:row>5</xdr:row>
                    <xdr:rowOff>161925</xdr:rowOff>
                  </from>
                  <to>
                    <xdr:col>2</xdr:col>
                    <xdr:colOff>1104900</xdr:colOff>
                    <xdr:row>6</xdr:row>
                    <xdr:rowOff>171450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pageSetUpPr fitToPage="1"/>
  </sheetPr>
  <dimension ref="A1:V66"/>
  <sheetViews>
    <sheetView showGridLines="0" zoomScale="60" zoomScaleNormal="60" zoomScaleSheetLayoutView="55" workbookViewId="0">
      <pane xSplit="1" ySplit="5" topLeftCell="B6" activePane="bottomRight" state="frozen"/>
      <selection pane="topRight" activeCell="B1" sqref="B1"/>
      <selection pane="bottomLeft" activeCell="A7" sqref="A7"/>
      <selection pane="bottomRight" activeCell="B3" sqref="B3:N3"/>
    </sheetView>
  </sheetViews>
  <sheetFormatPr defaultColWidth="0" defaultRowHeight="12.75" zeroHeight="1" x14ac:dyDescent="0.2"/>
  <cols>
    <col min="1" max="1" width="2.85546875" customWidth="1"/>
    <col min="2" max="2" width="58.28515625" customWidth="1"/>
    <col min="3" max="5" width="15.42578125" customWidth="1"/>
    <col min="6" max="6" width="5.7109375" customWidth="1"/>
    <col min="7" max="7" width="50.7109375" customWidth="1"/>
    <col min="8" max="10" width="15.42578125" customWidth="1"/>
    <col min="11" max="11" width="5.7109375" customWidth="1"/>
    <col min="12" max="12" width="50.7109375" customWidth="1"/>
    <col min="13" max="14" width="15.42578125" customWidth="1"/>
    <col min="15" max="15" width="3" customWidth="1"/>
    <col min="16" max="22" width="0" hidden="1" customWidth="1"/>
    <col min="23" max="16384" width="9.140625" hidden="1"/>
  </cols>
  <sheetData>
    <row r="1" spans="1:15" s="2" customFormat="1" ht="14.25" customHeight="1" thickBot="1" x14ac:dyDescent="0.25">
      <c r="A1" s="4"/>
      <c r="B1" s="5"/>
      <c r="C1" s="10"/>
      <c r="D1" s="10"/>
      <c r="E1" s="10"/>
      <c r="F1" s="10"/>
      <c r="G1" s="10"/>
      <c r="H1" s="10"/>
      <c r="I1" s="10"/>
      <c r="J1" s="10"/>
      <c r="K1" s="10"/>
      <c r="L1" s="10"/>
      <c r="M1" s="10"/>
      <c r="N1" s="10"/>
      <c r="O1" s="4"/>
    </row>
    <row r="2" spans="1:15" s="1" customFormat="1" ht="26.25" customHeight="1" thickBot="1" x14ac:dyDescent="0.4">
      <c r="A2" s="4"/>
      <c r="B2" s="350" t="str">
        <f>"Compensation and Pension National Inventory - Historical Reporting Bundles* - Data through "</f>
        <v xml:space="preserve">Compensation and Pension National Inventory - Historical Reporting Bundles* - Data through </v>
      </c>
      <c r="C2" s="351"/>
      <c r="D2" s="351"/>
      <c r="E2" s="351"/>
      <c r="F2" s="351"/>
      <c r="G2" s="351"/>
      <c r="H2" s="352">
        <f>D_DT[]</f>
        <v>43540</v>
      </c>
      <c r="I2" s="352"/>
      <c r="J2" s="352"/>
      <c r="K2" s="352"/>
      <c r="L2" s="352"/>
      <c r="M2" s="262"/>
      <c r="N2" s="263"/>
      <c r="O2" s="4"/>
    </row>
    <row r="3" spans="1:15" s="1" customFormat="1" ht="63" customHeight="1" thickBot="1" x14ac:dyDescent="0.25">
      <c r="A3" s="4"/>
      <c r="B3" s="361" t="s">
        <v>370</v>
      </c>
      <c r="C3" s="362"/>
      <c r="D3" s="362"/>
      <c r="E3" s="362"/>
      <c r="F3" s="362"/>
      <c r="G3" s="362"/>
      <c r="H3" s="362"/>
      <c r="I3" s="362"/>
      <c r="J3" s="362"/>
      <c r="K3" s="362"/>
      <c r="L3" s="362"/>
      <c r="M3" s="362"/>
      <c r="N3" s="363"/>
      <c r="O3" s="4"/>
    </row>
    <row r="4" spans="1:15" s="1" customFormat="1" ht="35.1" customHeight="1" thickBot="1" x14ac:dyDescent="0.4">
      <c r="A4" s="23"/>
      <c r="B4" s="364" t="s">
        <v>186</v>
      </c>
      <c r="C4" s="365"/>
      <c r="D4" s="365"/>
      <c r="E4" s="366"/>
      <c r="F4" s="195"/>
      <c r="G4" s="364" t="s">
        <v>183</v>
      </c>
      <c r="H4" s="365"/>
      <c r="I4" s="365"/>
      <c r="J4" s="366"/>
      <c r="K4" s="196"/>
      <c r="L4" s="358" t="s">
        <v>9</v>
      </c>
      <c r="M4" s="359"/>
      <c r="N4" s="360"/>
      <c r="O4" s="4"/>
    </row>
    <row r="5" spans="1:15" s="1" customFormat="1" ht="69.95" customHeight="1" thickBot="1" x14ac:dyDescent="0.25">
      <c r="A5" s="23"/>
      <c r="B5" s="249" t="s">
        <v>216</v>
      </c>
      <c r="C5" s="253" t="s">
        <v>10</v>
      </c>
      <c r="D5" s="254" t="s">
        <v>1</v>
      </c>
      <c r="E5" s="255" t="s">
        <v>2</v>
      </c>
      <c r="F5" s="7"/>
      <c r="G5" s="249" t="s">
        <v>216</v>
      </c>
      <c r="H5" s="250" t="s">
        <v>10</v>
      </c>
      <c r="I5" s="251" t="s">
        <v>1</v>
      </c>
      <c r="J5" s="252" t="s">
        <v>2</v>
      </c>
      <c r="K5" s="197"/>
      <c r="L5" s="198" t="s">
        <v>216</v>
      </c>
      <c r="M5" s="199" t="s">
        <v>355</v>
      </c>
      <c r="N5" s="200" t="s">
        <v>371</v>
      </c>
      <c r="O5" s="7"/>
    </row>
    <row r="6" spans="1:15" s="1" customFormat="1" ht="39.950000000000003" customHeight="1" x14ac:dyDescent="0.2">
      <c r="A6" s="24"/>
      <c r="B6" s="201" t="s">
        <v>811</v>
      </c>
      <c r="C6" s="202">
        <f>SUM(C7:C9)</f>
        <v>102520</v>
      </c>
      <c r="D6" s="203">
        <f>SUM(D7:D9)</f>
        <v>33463</v>
      </c>
      <c r="E6" s="204">
        <f>IFERROR(D6/C6,0)</f>
        <v>0.32640460397971127</v>
      </c>
      <c r="F6" s="205"/>
      <c r="G6" s="201" t="s">
        <v>201</v>
      </c>
      <c r="H6" s="203">
        <f>SUM(H7:H9)</f>
        <v>29407</v>
      </c>
      <c r="I6" s="203">
        <f>SUM(I7:I9)</f>
        <v>7785</v>
      </c>
      <c r="J6" s="206">
        <f t="shared" ref="J6:J10" si="0">IFERROR(I6/H6,0)</f>
        <v>0.26473288672764989</v>
      </c>
      <c r="K6" s="24">
        <v>1</v>
      </c>
      <c r="L6" s="106" t="s">
        <v>425</v>
      </c>
      <c r="M6" s="107">
        <f>IFERROR(SUMIFS(D_D[INV],D_D[MT],7,D_D[CAT],1,D_D[EP],$K6),0)</f>
        <v>164562</v>
      </c>
      <c r="N6" s="108">
        <f>IFERROR(SUMIFS(D_D[ADP],D_D[MT],7,D_D[CAT],1,D_D[EP],$K6),0)</f>
        <v>387.53</v>
      </c>
      <c r="O6" s="7"/>
    </row>
    <row r="7" spans="1:15" s="1" customFormat="1" ht="39.950000000000003" customHeight="1" x14ac:dyDescent="0.2">
      <c r="A7" s="24" t="s">
        <v>17</v>
      </c>
      <c r="B7" s="132" t="s">
        <v>190</v>
      </c>
      <c r="C7" s="72">
        <f>IFERROR(SUMIFS(D_D[INV],D_D[MT],3,D_D[CAT],TA_21,D_D[EP],$A7),0)</f>
        <v>181</v>
      </c>
      <c r="D7" s="72">
        <f>IFERROR(SUMIFS(D_D[BL],D_D[MT],3,D_D[CAT],TA_21,D_D[EP],$A7),0)</f>
        <v>135</v>
      </c>
      <c r="E7" s="79">
        <f t="shared" ref="E7:E17" si="1">IFERROR(D7/C7,0)</f>
        <v>0.7458563535911602</v>
      </c>
      <c r="F7" s="24">
        <v>180</v>
      </c>
      <c r="G7" s="133" t="s">
        <v>203</v>
      </c>
      <c r="H7" s="80">
        <f>IFERROR(SUMIFS(D_D[INV],D_D[MT],3,D_D[CAT],TA_31,D_D[EP],$F7),0)</f>
        <v>6856</v>
      </c>
      <c r="I7" s="80">
        <f>IFERROR(SUMIFS(D_D[BL],D_D[MT],3,D_D[CAT],TA_31,D_D[EP],$F7),0)</f>
        <v>1583</v>
      </c>
      <c r="J7" s="81">
        <f t="shared" si="0"/>
        <v>0.23089264877479579</v>
      </c>
      <c r="K7" s="24">
        <v>9</v>
      </c>
      <c r="L7" s="106" t="s">
        <v>863</v>
      </c>
      <c r="M7" s="107">
        <f>IFERROR(SUMIFS(D_D[INV],D_D[MT],7,D_D[CAT],1,D_D[EP],$K7),0)</f>
        <v>21768</v>
      </c>
      <c r="N7" s="272" t="s">
        <v>867</v>
      </c>
      <c r="O7" s="7"/>
    </row>
    <row r="8" spans="1:15" s="1" customFormat="1" ht="39.950000000000003" customHeight="1" x14ac:dyDescent="0.2">
      <c r="A8" s="24" t="s">
        <v>18</v>
      </c>
      <c r="B8" s="132" t="s">
        <v>188</v>
      </c>
      <c r="C8" s="80">
        <f>IFERROR(SUMIFS(D_D[INV],D_D[MT],3,D_D[CAT],TA_21,D_D[EP],$A8),0)</f>
        <v>31739</v>
      </c>
      <c r="D8" s="80">
        <f>IFERROR(SUMIFS(D_D[BL],D_D[MT],3,D_D[CAT],TA_21,D_D[EP],$A8),0)</f>
        <v>12197</v>
      </c>
      <c r="E8" s="81">
        <f t="shared" si="1"/>
        <v>0.38429062037241252</v>
      </c>
      <c r="F8" s="99">
        <v>120</v>
      </c>
      <c r="G8" s="132" t="s">
        <v>202</v>
      </c>
      <c r="H8" s="80">
        <f>IFERROR(SUMIFS(D_D[INV],D_D[MT],3,D_D[CAT],TA_31,D_D[EP],$F8),0)</f>
        <v>9159</v>
      </c>
      <c r="I8" s="80">
        <f>IFERROR(SUMIFS(D_D[BL],D_D[MT],3,D_D[CAT],TA_31,D_D[EP],$F8),0)</f>
        <v>1930</v>
      </c>
      <c r="J8" s="81">
        <f t="shared" si="0"/>
        <v>0.21072169450813408</v>
      </c>
      <c r="K8" s="24" t="s">
        <v>339</v>
      </c>
      <c r="L8" s="133" t="s">
        <v>426</v>
      </c>
      <c r="M8" s="75">
        <f>IFERROR(SUMIFS(D_D[INV],D_D[MT],7,D_D[CAT],1,D_D[EP],$K8),0)</f>
        <v>15931</v>
      </c>
      <c r="N8" s="104">
        <f>IFERROR(SUMIFS(D_D[ADP],D_D[MT],7,D_D[CAT],1,D_D[EP],$K8),0)</f>
        <v>387.13</v>
      </c>
      <c r="O8" s="7"/>
    </row>
    <row r="9" spans="1:15" s="1" customFormat="1" ht="39.950000000000003" customHeight="1" thickBot="1" x14ac:dyDescent="0.25">
      <c r="A9" s="24" t="s">
        <v>77</v>
      </c>
      <c r="B9" s="103" t="s">
        <v>189</v>
      </c>
      <c r="C9" s="82">
        <f>IFERROR(SUMIFS(D_D[INV],D_D[MT],3,D_D[CAT],TA_21,D_D[EP],$A9),0)</f>
        <v>70600</v>
      </c>
      <c r="D9" s="82">
        <f>IFERROR(SUMIFS(D_D[BL],D_D[MT],3,D_D[CAT],TA_21,D_D[EP],$A9),0)</f>
        <v>21131</v>
      </c>
      <c r="E9" s="83">
        <f t="shared" si="1"/>
        <v>0.29930594900849861</v>
      </c>
      <c r="F9" s="99">
        <v>190</v>
      </c>
      <c r="G9" s="134" t="s">
        <v>204</v>
      </c>
      <c r="H9" s="73">
        <f>IFERROR(SUMIFS(D_D[INV],D_D[MT],3,D_D[CAT],TA_31,D_D[EP],$F9),0)</f>
        <v>13392</v>
      </c>
      <c r="I9" s="73">
        <f>IFERROR(SUMIFS(D_D[BL],D_D[MT],3,D_D[CAT],TA_31,D_D[EP],$F9),0)</f>
        <v>4272</v>
      </c>
      <c r="J9" s="74">
        <f t="shared" si="0"/>
        <v>0.31899641577060933</v>
      </c>
      <c r="K9" s="24" t="s">
        <v>358</v>
      </c>
      <c r="L9" s="133" t="s">
        <v>427</v>
      </c>
      <c r="M9" s="75">
        <f>IFERROR(SUMIFS(D_D[INV],D_D[MT],7,D_D[CAT],1,D_D[EP],$K9),0)</f>
        <v>25390</v>
      </c>
      <c r="N9" s="104">
        <f>IFERROR(SUMIFS(D_D[ADP],D_D[MT],7,D_D[CAT],1,D_D[EP],$K9),0)</f>
        <v>353.85</v>
      </c>
      <c r="O9" s="7"/>
    </row>
    <row r="10" spans="1:15" s="1" customFormat="1" ht="39.950000000000003" customHeight="1" x14ac:dyDescent="0.2">
      <c r="A10" s="24"/>
      <c r="B10" s="201" t="s">
        <v>812</v>
      </c>
      <c r="C10" s="202">
        <f>SUM(C11:C12)</f>
        <v>12512</v>
      </c>
      <c r="D10" s="203">
        <f>SUM(D11:D12)</f>
        <v>3474</v>
      </c>
      <c r="E10" s="204">
        <f t="shared" si="1"/>
        <v>0.27765345268542202</v>
      </c>
      <c r="F10" s="24"/>
      <c r="G10" s="207" t="s">
        <v>184</v>
      </c>
      <c r="H10" s="208">
        <f>SUM(H11:H16)</f>
        <v>18116</v>
      </c>
      <c r="I10" s="208">
        <f>SUM(I11:I16)</f>
        <v>3316</v>
      </c>
      <c r="J10" s="209">
        <f t="shared" si="0"/>
        <v>0.18304261426363436</v>
      </c>
      <c r="K10" s="24" t="s">
        <v>340</v>
      </c>
      <c r="L10" s="133" t="s">
        <v>428</v>
      </c>
      <c r="M10" s="75">
        <f>IFERROR(SUMIFS(D_D[INV],D_D[MT],7,D_D[CAT],1,D_D[EP],$K10),0)</f>
        <v>37965</v>
      </c>
      <c r="N10" s="104">
        <f>IFERROR(SUMIFS(D_D[ADP],D_D[MT],7,D_D[CAT],1,D_D[EP],$K10),0)</f>
        <v>254.82</v>
      </c>
      <c r="O10" s="7"/>
    </row>
    <row r="11" spans="1:15" s="1" customFormat="1" ht="39.950000000000003" customHeight="1" thickBot="1" x14ac:dyDescent="0.25">
      <c r="A11" s="24" t="s">
        <v>79</v>
      </c>
      <c r="B11" s="95" t="s">
        <v>206</v>
      </c>
      <c r="C11" s="80">
        <f>IFERROR(SUMIFS(D_D[INV],D_D[MT],3,D_D[CAT],TA_21,D_D[EP],$A11),0)</f>
        <v>12265</v>
      </c>
      <c r="D11" s="80">
        <f>IFERROR(SUMIFS(D_D[BL],D_D[MT],3,D_D[CAT],TA_21,D_D[EP],$A11),0)</f>
        <v>3337</v>
      </c>
      <c r="E11" s="81">
        <f t="shared" si="1"/>
        <v>0.27207501019160213</v>
      </c>
      <c r="F11" s="99">
        <v>135</v>
      </c>
      <c r="G11" s="133" t="s">
        <v>196</v>
      </c>
      <c r="H11" s="72">
        <f>IFERROR(SUMIFS(D_D[INV],D_D[MT],3,D_D[CAT],TA_32,D_D[EP],$F11),0)</f>
        <v>1639</v>
      </c>
      <c r="I11" s="72">
        <f>IFERROR(SUMIFS(D_D[BL],D_D[MT],3,D_D[CAT],TA_32,D_D[EP],$F11),0)</f>
        <v>220</v>
      </c>
      <c r="J11" s="79">
        <f t="shared" ref="J11:J16" si="2">IFERROR(I11/H11,0)</f>
        <v>0.13422818791946309</v>
      </c>
      <c r="K11" s="24" t="s">
        <v>341</v>
      </c>
      <c r="L11" s="134" t="s">
        <v>429</v>
      </c>
      <c r="M11" s="76">
        <f>IFERROR(SUMIFS(D_D[INV],D_D[MT],7,D_D[CAT],1,D_D[EP],$K11),0)</f>
        <v>155</v>
      </c>
      <c r="N11" s="105">
        <f>IFERROR(SUMIFS(D_D[ADP],D_D[MT],7,D_D[CAT],1,D_D[EP],$K11),0)</f>
        <v>733.52</v>
      </c>
      <c r="O11" s="7"/>
    </row>
    <row r="12" spans="1:15" s="1" customFormat="1" ht="39.950000000000003" customHeight="1" thickBot="1" x14ac:dyDescent="0.25">
      <c r="A12" s="24" t="s">
        <v>84</v>
      </c>
      <c r="B12" s="96" t="s">
        <v>366</v>
      </c>
      <c r="C12" s="73">
        <f>IFERROR(SUMIFS(D_D[INV],D_D[MT],3,D_D[CAT],TA_21,D_D[EP],$A12),0)</f>
        <v>247</v>
      </c>
      <c r="D12" s="73">
        <f>IFERROR(SUMIFS(D_D[BL],D_D[MT],3,D_D[CAT],TA_21,D_D[EP],$A12),0)</f>
        <v>137</v>
      </c>
      <c r="E12" s="74">
        <f t="shared" si="1"/>
        <v>0.55465587044534415</v>
      </c>
      <c r="F12" s="24">
        <v>137</v>
      </c>
      <c r="G12" s="133" t="s">
        <v>205</v>
      </c>
      <c r="H12" s="72">
        <f>IFERROR(SUMIFS(D_D[INV],D_D[MT],3,D_D[CAT],TA_32,D_D[EP],$F12),0)</f>
        <v>33</v>
      </c>
      <c r="I12" s="72">
        <f>IFERROR(SUMIFS(D_D[BL],D_D[MT],3,D_D[CAT],TA_32,D_D[EP],$F12),0)</f>
        <v>8</v>
      </c>
      <c r="J12" s="79">
        <f t="shared" si="2"/>
        <v>0.24242424242424243</v>
      </c>
      <c r="K12" s="24">
        <v>5</v>
      </c>
      <c r="L12" s="210" t="s">
        <v>364</v>
      </c>
      <c r="M12" s="211">
        <f>M6+M7+M8+M9+M10+M11</f>
        <v>265771</v>
      </c>
      <c r="N12" s="212"/>
      <c r="O12" s="7"/>
    </row>
    <row r="13" spans="1:15" s="1" customFormat="1" ht="39.950000000000003" customHeight="1" thickBot="1" x14ac:dyDescent="0.25">
      <c r="A13" s="24"/>
      <c r="B13" s="201" t="s">
        <v>0</v>
      </c>
      <c r="C13" s="202">
        <f>SUM(C14:C16)</f>
        <v>211959</v>
      </c>
      <c r="D13" s="203">
        <f>SUM(D14:D16)</f>
        <v>41097</v>
      </c>
      <c r="E13" s="204">
        <f t="shared" si="1"/>
        <v>0.1938912714251341</v>
      </c>
      <c r="F13" s="24" t="s">
        <v>415</v>
      </c>
      <c r="G13" s="133" t="s">
        <v>207</v>
      </c>
      <c r="H13" s="72">
        <f>IFERROR(SUMIFS(D_D[INV],D_D[MT],3,D_D[CAT],TA_32,D_D[EP],$F13),0)</f>
        <v>16153</v>
      </c>
      <c r="I13" s="72">
        <f>IFERROR(SUMIFS(D_D[BL],D_D[MT],3,D_D[CAT],TA_32,D_D[EP],$F13),0)</f>
        <v>2910</v>
      </c>
      <c r="J13" s="79">
        <f t="shared" si="2"/>
        <v>0.18015229369157432</v>
      </c>
      <c r="K13" s="94"/>
      <c r="L13" s="353" t="s">
        <v>868</v>
      </c>
      <c r="M13" s="353"/>
      <c r="N13" s="354"/>
      <c r="O13" s="7"/>
    </row>
    <row r="14" spans="1:15" s="1" customFormat="1" ht="39.950000000000003" customHeight="1" x14ac:dyDescent="0.2">
      <c r="A14" s="24" t="s">
        <v>19</v>
      </c>
      <c r="B14" s="132" t="s">
        <v>191</v>
      </c>
      <c r="C14" s="77">
        <f>IFERROR(SUMIFS(D_D[INV],D_D[MT],3,D_D[CAT],TA_21,D_D[EP],$A14),0)</f>
        <v>210778</v>
      </c>
      <c r="D14" s="77">
        <f>IFERROR(SUMIFS(D_D[BL],D_D[MT],3,D_D[CAT],TA_21,D_D[EP],$A14),0)</f>
        <v>40848</v>
      </c>
      <c r="E14" s="78">
        <f t="shared" si="1"/>
        <v>0.19379631650361992</v>
      </c>
      <c r="F14" s="99">
        <v>155</v>
      </c>
      <c r="G14" s="133" t="s">
        <v>208</v>
      </c>
      <c r="H14" s="72">
        <f>IFERROR(SUMIFS(D_D[INV],D_D[MT],3,D_D[CAT],TA_32,D_D[EP],$F14),0)</f>
        <v>0</v>
      </c>
      <c r="I14" s="72">
        <f>IFERROR(SUMIFS(D_D[BL],D_D[MT],3,D_D[CAT],TA_32,D_D[EP],$F14),0)</f>
        <v>0</v>
      </c>
      <c r="J14" s="79">
        <f t="shared" si="2"/>
        <v>0</v>
      </c>
      <c r="K14" s="94"/>
      <c r="L14" s="358" t="s">
        <v>860</v>
      </c>
      <c r="M14" s="359"/>
      <c r="N14" s="360"/>
      <c r="O14" s="7"/>
    </row>
    <row r="15" spans="1:15" s="1" customFormat="1" ht="39.950000000000003" customHeight="1" x14ac:dyDescent="0.2">
      <c r="A15" s="24" t="s">
        <v>80</v>
      </c>
      <c r="B15" s="133" t="s">
        <v>192</v>
      </c>
      <c r="C15" s="77">
        <f>IFERROR(SUMIFS(D_D[INV],D_D[MT],3,D_D[CAT],TA_21,D_D[EP],$A15),0)</f>
        <v>1083</v>
      </c>
      <c r="D15" s="77">
        <f>IFERROR(SUMIFS(D_D[BL],D_D[MT],3,D_D[CAT],TA_21,D_D[EP],$A15),0)</f>
        <v>203</v>
      </c>
      <c r="E15" s="78">
        <f t="shared" si="1"/>
        <v>0.18744228993536471</v>
      </c>
      <c r="F15" s="99">
        <v>297</v>
      </c>
      <c r="G15" s="133" t="s">
        <v>209</v>
      </c>
      <c r="H15" s="72">
        <f>IFERROR(SUMIFS(D_D[INV],D_D[MT],3,D_D[CAT],TA_32,D_D[EP],$F15),0)</f>
        <v>283</v>
      </c>
      <c r="I15" s="72">
        <f>IFERROR(SUMIFS(D_D[BL],D_D[MT],3,D_D[CAT],TA_32,D_D[EP],$F15),0)</f>
        <v>170</v>
      </c>
      <c r="J15" s="79">
        <f t="shared" si="2"/>
        <v>0.60070671378091878</v>
      </c>
      <c r="K15" s="24">
        <v>7</v>
      </c>
      <c r="L15" s="133" t="s">
        <v>861</v>
      </c>
      <c r="M15" s="75">
        <f>IFERROR(SUMIFS(D_D[INV],D_D[MT],7,D_D[CAT],1,D_D[EP],$K15),0)</f>
        <v>2392</v>
      </c>
      <c r="N15" s="104">
        <f>IFERROR(SUMIFS(D_D[ADP],D_D[MT],7,D_D[CAT],1,D_D[EP],$K15),0)</f>
        <v>79.709999999999994</v>
      </c>
      <c r="O15" s="7"/>
    </row>
    <row r="16" spans="1:15" s="1" customFormat="1" ht="39.950000000000003" customHeight="1" thickBot="1" x14ac:dyDescent="0.25">
      <c r="A16" s="24" t="s">
        <v>82</v>
      </c>
      <c r="B16" s="133" t="s">
        <v>193</v>
      </c>
      <c r="C16" s="72">
        <f>IFERROR(SUMIFS(D_D[INV],D_D[MT],3,D_D[CAT],TA_21,D_D[EP],$A16),0)</f>
        <v>98</v>
      </c>
      <c r="D16" s="72">
        <f>IFERROR(SUMIFS(D_D[BL],D_D[MT],3,D_D[CAT],TA_21,D_D[EP],$A16),0)</f>
        <v>46</v>
      </c>
      <c r="E16" s="79">
        <f t="shared" si="1"/>
        <v>0.46938775510204084</v>
      </c>
      <c r="F16" s="24">
        <v>607</v>
      </c>
      <c r="G16" s="134" t="s">
        <v>210</v>
      </c>
      <c r="H16" s="73">
        <f>IFERROR(SUMIFS(D_D[INV],D_D[MT],3,D_D[CAT],TA_32,D_D[EP],$F16),0)</f>
        <v>8</v>
      </c>
      <c r="I16" s="73">
        <f>IFERROR(SUMIFS(D_D[BL],D_D[MT],3,D_D[CAT],TA_32,D_D[EP],$F16),0)</f>
        <v>8</v>
      </c>
      <c r="J16" s="74">
        <f t="shared" si="2"/>
        <v>1</v>
      </c>
      <c r="K16" s="24">
        <v>8</v>
      </c>
      <c r="L16" s="133" t="s">
        <v>862</v>
      </c>
      <c r="M16" s="75">
        <f>IFERROR(SUMIFS(D_D[INV],D_D[MT],7,D_D[CAT],1,D_D[EP],$K16),0)</f>
        <v>13118</v>
      </c>
      <c r="N16" s="104">
        <f>IFERROR(SUMIFS(D_D[ADP],D_D[MT],7,D_D[CAT],1,D_D[EP],$K16),0)</f>
        <v>127.6</v>
      </c>
      <c r="O16" s="7"/>
    </row>
    <row r="17" spans="1:15" s="1" customFormat="1" ht="39.950000000000003" customHeight="1" thickBot="1" x14ac:dyDescent="0.25">
      <c r="A17" s="24" t="s">
        <v>347</v>
      </c>
      <c r="B17" s="201" t="s">
        <v>11</v>
      </c>
      <c r="C17" s="202">
        <f>SUM(C18:C24)</f>
        <v>308985</v>
      </c>
      <c r="D17" s="203">
        <f>SUM(D18:D24)</f>
        <v>57302</v>
      </c>
      <c r="E17" s="204">
        <f t="shared" si="1"/>
        <v>0.18545236823794034</v>
      </c>
      <c r="F17" s="99"/>
      <c r="G17" s="207" t="s">
        <v>13</v>
      </c>
      <c r="H17" s="208">
        <f>SUM(H18:H20)</f>
        <v>32867</v>
      </c>
      <c r="I17" s="208">
        <f>SUM(I18:I20)</f>
        <v>43</v>
      </c>
      <c r="J17" s="209">
        <f t="shared" ref="J17:J20" si="3">IFERROR(I17/H17,0)</f>
        <v>1.3083031612255453E-3</v>
      </c>
      <c r="K17" s="24">
        <v>6</v>
      </c>
      <c r="L17" s="134" t="s">
        <v>864</v>
      </c>
      <c r="M17" s="76">
        <f>IFERROR(SUMIFS(D_D[INV],D_D[MT],7,D_D[CAT],1,D_D[EP],$K17),0)</f>
        <v>15510</v>
      </c>
      <c r="N17" s="105">
        <f>IFERROR(SUMIFS(D_D[ADP],D_D[MT],7,D_D[CAT],1,D_D[EP],$K17),0)</f>
        <v>120.21</v>
      </c>
      <c r="O17" s="7"/>
    </row>
    <row r="18" spans="1:15" s="1" customFormat="1" ht="39.950000000000003" customHeight="1" thickBot="1" x14ac:dyDescent="0.4">
      <c r="A18" s="24" t="s">
        <v>405</v>
      </c>
      <c r="B18" s="95" t="s">
        <v>194</v>
      </c>
      <c r="C18" s="72">
        <f>IFERROR(SUMIFS(D_D[INV],D_D[MT],3,D_D[CAT],TA_22,D_D[EP],$A18),0)</f>
        <v>46804</v>
      </c>
      <c r="D18" s="72">
        <f>IFERROR(SUMIFS(D_D[BL],D_D[MT],3,D_D[CAT],TA_22,D_D[EP],$A18),0)</f>
        <v>6930</v>
      </c>
      <c r="E18" s="79">
        <f t="shared" ref="E18:E24" si="4">IFERROR(D18/C18,0)</f>
        <v>0.14806426801128109</v>
      </c>
      <c r="F18" s="99" t="s">
        <v>99</v>
      </c>
      <c r="G18" s="133" t="s">
        <v>211</v>
      </c>
      <c r="H18" s="72">
        <f>IFERROR(SUMIFS(D_D[INV],D_D[MT],3,D_D[CAT],TA_33,D_D[EP],$F18),0)</f>
        <v>32</v>
      </c>
      <c r="I18" s="72">
        <f>IFERROR(SUMIFS(D_D[BL],D_D[MT],3,D_D[CAT],TA_33,D_D[EP],$F18),0)</f>
        <v>31</v>
      </c>
      <c r="J18" s="79">
        <f t="shared" si="3"/>
        <v>0.96875</v>
      </c>
      <c r="K18" s="215"/>
      <c r="L18" s="266"/>
      <c r="M18" s="267"/>
      <c r="N18" s="213"/>
      <c r="O18" s="7"/>
    </row>
    <row r="19" spans="1:15" s="1" customFormat="1" ht="39.950000000000003" customHeight="1" thickBot="1" x14ac:dyDescent="0.4">
      <c r="A19" s="24" t="s">
        <v>85</v>
      </c>
      <c r="B19" s="95" t="s">
        <v>195</v>
      </c>
      <c r="C19" s="72">
        <f>IFERROR(SUMIFS(D_D[INV],D_D[MT],3,D_D[CAT],TA_22,D_D[EP],$A19),0)</f>
        <v>1</v>
      </c>
      <c r="D19" s="72">
        <f>IFERROR(SUMIFS(D_D[BL],D_D[MT],3,D_D[CAT],TA_22,D_D[EP],$A19),0)</f>
        <v>1</v>
      </c>
      <c r="E19" s="79">
        <f t="shared" si="4"/>
        <v>1</v>
      </c>
      <c r="F19" s="99" t="s">
        <v>98</v>
      </c>
      <c r="G19" s="133" t="s">
        <v>229</v>
      </c>
      <c r="H19" s="72">
        <f>IFERROR(SUMIFS(D_D[INV],D_D[MT],3,D_D[CAT],TA_33,D_D[EP],$F19),0)</f>
        <v>32834</v>
      </c>
      <c r="I19" s="72">
        <f>IFERROR(SUMIFS(D_D[BL],D_D[MT],3,D_D[CAT],TA_33,D_D[EP],$F19),0)</f>
        <v>11</v>
      </c>
      <c r="J19" s="79">
        <f t="shared" si="3"/>
        <v>3.3501857830297861E-4</v>
      </c>
      <c r="K19" s="216"/>
      <c r="L19" s="358" t="s">
        <v>852</v>
      </c>
      <c r="M19" s="359"/>
      <c r="N19" s="360"/>
      <c r="O19" s="7"/>
    </row>
    <row r="20" spans="1:15" s="1" customFormat="1" ht="39.950000000000003" customHeight="1" thickBot="1" x14ac:dyDescent="0.4">
      <c r="A20" s="24" t="s">
        <v>87</v>
      </c>
      <c r="B20" s="95" t="s">
        <v>196</v>
      </c>
      <c r="C20" s="72">
        <f>IFERROR(SUMIFS(D_D[INV],D_D[MT],3,D_D[CAT],TA_22,D_D[EP],$A20),0)</f>
        <v>425</v>
      </c>
      <c r="D20" s="72">
        <f>IFERROR(SUMIFS(D_D[BL],D_D[MT],3,D_D[CAT],TA_22,D_D[EP],$A20),0)</f>
        <v>21</v>
      </c>
      <c r="E20" s="79">
        <f t="shared" si="4"/>
        <v>4.9411764705882349E-2</v>
      </c>
      <c r="F20" s="99" t="s">
        <v>97</v>
      </c>
      <c r="G20" s="134" t="s">
        <v>212</v>
      </c>
      <c r="H20" s="73">
        <f>IFERROR(SUMIFS(D_D[INV],D_D[MT],3,D_D[CAT],TA_33,D_D[EP],$F20),0)</f>
        <v>1</v>
      </c>
      <c r="I20" s="73">
        <f>IFERROR(SUMIFS(D_D[BL],D_D[MT],3,D_D[CAT],TA_33,D_D[EP],$F20),0)</f>
        <v>1</v>
      </c>
      <c r="J20" s="74">
        <f t="shared" si="3"/>
        <v>1</v>
      </c>
      <c r="K20" s="216"/>
      <c r="L20" s="355" t="s">
        <v>851</v>
      </c>
      <c r="M20" s="356"/>
      <c r="N20" s="256">
        <f>IFERROR(SUMIFS(D_D[INV],D_D[MT],10,D_D[CAT],1,D_D[EP],-1),0)</f>
        <v>18402</v>
      </c>
      <c r="O20" s="7"/>
    </row>
    <row r="21" spans="1:15" s="1" customFormat="1" ht="39.950000000000003" customHeight="1" x14ac:dyDescent="0.35">
      <c r="A21" s="24" t="s">
        <v>406</v>
      </c>
      <c r="B21" s="95" t="s">
        <v>197</v>
      </c>
      <c r="C21" s="72">
        <f>IFERROR(SUMIFS(D_D[INV],D_D[MT],3,D_D[CAT],TA_22,D_D[EP],$A21),0)</f>
        <v>27420</v>
      </c>
      <c r="D21" s="72">
        <f>IFERROR(SUMIFS(D_D[BL],D_D[MT],3,D_D[CAT],TA_22,D_D[EP],$A21),0)</f>
        <v>6707</v>
      </c>
      <c r="E21" s="79">
        <f t="shared" si="4"/>
        <v>0.24460247994164844</v>
      </c>
      <c r="F21" s="24"/>
      <c r="G21" s="207" t="s">
        <v>179</v>
      </c>
      <c r="H21" s="208">
        <f>SUM(H22:H25)</f>
        <v>192</v>
      </c>
      <c r="I21" s="208">
        <f>SUM(I22:I25)</f>
        <v>56</v>
      </c>
      <c r="J21" s="209">
        <f t="shared" ref="J21:J25" si="5">IFERROR(I21/H21,0)</f>
        <v>0.29166666666666669</v>
      </c>
      <c r="K21" s="216"/>
      <c r="L21" s="357"/>
      <c r="M21" s="357"/>
      <c r="N21" s="11"/>
      <c r="O21" s="7"/>
    </row>
    <row r="22" spans="1:15" s="1" customFormat="1" ht="39.950000000000003" customHeight="1" x14ac:dyDescent="0.35">
      <c r="A22" s="24" t="s">
        <v>83</v>
      </c>
      <c r="B22" s="95" t="s">
        <v>198</v>
      </c>
      <c r="C22" s="72">
        <f>IFERROR(SUMIFS(D_D[INV],D_D[MT],3,D_D[CAT],TA_22,D_D[EP],$A22),0)</f>
        <v>48</v>
      </c>
      <c r="D22" s="72">
        <f>IFERROR(SUMIFS(D_D[BL],D_D[MT],3,D_D[CAT],TA_22,D_D[EP],$A22),0)</f>
        <v>43</v>
      </c>
      <c r="E22" s="79">
        <f t="shared" si="4"/>
        <v>0.89583333333333337</v>
      </c>
      <c r="F22" s="24" t="s">
        <v>103</v>
      </c>
      <c r="G22" s="133" t="s">
        <v>215</v>
      </c>
      <c r="H22" s="72">
        <f>IFERROR(SUMIFS(D_D[INV],D_D[MT],3,D_D[CAT],TA_34,D_D[EP],$F22),0)</f>
        <v>128</v>
      </c>
      <c r="I22" s="72">
        <f>IFERROR(SUMIFS(D_D[BL],D_D[MT],3,D_D[CAT],TA_34,D_D[EP],$F22),0)</f>
        <v>10</v>
      </c>
      <c r="J22" s="79">
        <f t="shared" si="5"/>
        <v>7.8125E-2</v>
      </c>
      <c r="K22" s="216"/>
      <c r="L22" s="214"/>
      <c r="M22" s="214"/>
      <c r="N22" s="11"/>
      <c r="O22" s="7"/>
    </row>
    <row r="23" spans="1:15" s="1" customFormat="1" ht="39.950000000000003" customHeight="1" x14ac:dyDescent="0.35">
      <c r="A23" s="24" t="s">
        <v>407</v>
      </c>
      <c r="B23" s="95" t="s">
        <v>199</v>
      </c>
      <c r="C23" s="77">
        <f>IFERROR(SUMIFS(D_D[INV],D_D[MT],3,D_D[CAT],TA_22,D_D[EP],$A23),0)</f>
        <v>23069</v>
      </c>
      <c r="D23" s="77">
        <f>IFERROR(SUMIFS(D_D[BL],D_D[MT],3,D_D[CAT],TA_22,D_D[EP],$A23),0)</f>
        <v>714</v>
      </c>
      <c r="E23" s="78">
        <f t="shared" si="4"/>
        <v>3.0950626381724394E-2</v>
      </c>
      <c r="F23" s="24" t="s">
        <v>101</v>
      </c>
      <c r="G23" s="133" t="s">
        <v>214</v>
      </c>
      <c r="H23" s="72">
        <f>IFERROR(SUMIFS(D_D[INV],D_D[MT],3,D_D[CAT],TA_34,D_D[EP],$F23),0)</f>
        <v>0</v>
      </c>
      <c r="I23" s="72">
        <f>IFERROR(SUMIFS(D_D[BL],D_D[MT],3,D_D[CAT],TA_34,D_D[EP],$F23),0)</f>
        <v>0</v>
      </c>
      <c r="J23" s="79">
        <f t="shared" si="5"/>
        <v>0</v>
      </c>
      <c r="K23" s="216"/>
      <c r="L23" s="216"/>
      <c r="M23" s="216"/>
      <c r="N23" s="11"/>
      <c r="O23" s="7"/>
    </row>
    <row r="24" spans="1:15" s="1" customFormat="1" ht="39.950000000000003" customHeight="1" thickBot="1" x14ac:dyDescent="0.4">
      <c r="A24" s="24" t="s">
        <v>408</v>
      </c>
      <c r="B24" s="96" t="s">
        <v>200</v>
      </c>
      <c r="C24" s="73">
        <f>IFERROR(SUMIFS(D_D[INV],D_D[MT],3,D_D[CAT],TA_22,D_D[EP],$A24),0)</f>
        <v>211218</v>
      </c>
      <c r="D24" s="73">
        <f>IFERROR(SUMIFS(D_D[BL],D_D[MT],3,D_D[CAT],TA_22,D_D[EP],$A24),0)</f>
        <v>42886</v>
      </c>
      <c r="E24" s="74">
        <f t="shared" si="4"/>
        <v>0.20304140745580396</v>
      </c>
      <c r="F24" s="24" t="s">
        <v>100</v>
      </c>
      <c r="G24" s="133" t="s">
        <v>213</v>
      </c>
      <c r="H24" s="72">
        <f>IFERROR(SUMIFS(D_D[INV],D_D[MT],3,D_D[CAT],TA_34,D_D[EP],$F24),0)</f>
        <v>64</v>
      </c>
      <c r="I24" s="72">
        <f>IFERROR(SUMIFS(D_D[BL],D_D[MT],3,D_D[CAT],TA_34,D_D[EP],$F24),0)</f>
        <v>46</v>
      </c>
      <c r="J24" s="79">
        <f t="shared" si="5"/>
        <v>0.71875</v>
      </c>
      <c r="K24" s="216"/>
      <c r="L24" s="216"/>
      <c r="M24" s="216"/>
      <c r="N24" s="11"/>
      <c r="O24" s="7"/>
    </row>
    <row r="25" spans="1:15" s="1" customFormat="1" ht="39.950000000000003" customHeight="1" thickBot="1" x14ac:dyDescent="0.4">
      <c r="A25" s="24"/>
      <c r="B25" s="201" t="s">
        <v>24</v>
      </c>
      <c r="C25" s="203">
        <f>SUM(C26:C32)</f>
        <v>19058</v>
      </c>
      <c r="D25" s="203">
        <f>SUM(D26:D32)</f>
        <v>9983</v>
      </c>
      <c r="E25" s="219">
        <f t="shared" ref="E25:E32" si="6">IFERROR(D25/C25,0)</f>
        <v>0.52382201700073461</v>
      </c>
      <c r="F25" s="100" t="s">
        <v>102</v>
      </c>
      <c r="G25" s="134" t="s">
        <v>230</v>
      </c>
      <c r="H25" s="73">
        <f>IFERROR(SUMIFS(D_D[INV],D_D[MT],3,D_D[CAT],TA_34,D_D[EP],$F25),0)</f>
        <v>0</v>
      </c>
      <c r="I25" s="73">
        <f>IFERROR(SUMIFS(D_D[BL],D_D[MT],3,D_D[CAT],TA_34,D_D[EP],$F25),0)</f>
        <v>0</v>
      </c>
      <c r="J25" s="74">
        <f t="shared" si="5"/>
        <v>0</v>
      </c>
      <c r="K25" s="216"/>
      <c r="L25" s="7"/>
      <c r="M25" s="7"/>
      <c r="N25" s="11"/>
      <c r="O25" s="7"/>
    </row>
    <row r="26" spans="1:15" s="1" customFormat="1" ht="39.950000000000003" customHeight="1" x14ac:dyDescent="0.35">
      <c r="A26" s="24" t="s">
        <v>89</v>
      </c>
      <c r="B26" s="133" t="s">
        <v>217</v>
      </c>
      <c r="C26" s="72">
        <f>IFERROR(SUMIFS(D_D[INV],D_D[MT],3,D_D[CAT],TA_23,D_D[EP],$A26),0)</f>
        <v>15</v>
      </c>
      <c r="D26" s="72">
        <f>IFERROR(SUMIFS(D_D[BL],D_D[MT],3,D_D[CAT],TA_23,D_D[EP],$A26),0)</f>
        <v>15</v>
      </c>
      <c r="E26" s="79">
        <f t="shared" si="6"/>
        <v>1</v>
      </c>
      <c r="F26" s="101"/>
      <c r="G26" s="207" t="s">
        <v>381</v>
      </c>
      <c r="H26" s="208">
        <f>SUM(H27:H29)</f>
        <v>7162</v>
      </c>
      <c r="I26" s="208">
        <f>SUM(I27:I29)</f>
        <v>5182</v>
      </c>
      <c r="J26" s="209">
        <f t="shared" ref="J26:J28" si="7">IFERROR(I26/H26,0)</f>
        <v>0.7235409103602346</v>
      </c>
      <c r="K26" s="215"/>
      <c r="L26" s="7"/>
      <c r="M26" s="7"/>
      <c r="N26" s="11"/>
      <c r="O26" s="7"/>
    </row>
    <row r="27" spans="1:15" s="1" customFormat="1" ht="39.950000000000003" customHeight="1" x14ac:dyDescent="0.2">
      <c r="A27" s="24" t="s">
        <v>409</v>
      </c>
      <c r="B27" s="133" t="s">
        <v>218</v>
      </c>
      <c r="C27" s="72">
        <f>IFERROR(SUMIFS(D_D[INV],D_D[MT],3,D_D[CAT],TA_23,D_D[EP],$A27),0)</f>
        <v>15415</v>
      </c>
      <c r="D27" s="72">
        <f>IFERROR(SUMIFS(D_D[BL],D_D[MT],3,D_D[CAT],TA_23,D_D[EP],$A27),0)</f>
        <v>8261</v>
      </c>
      <c r="E27" s="79">
        <f t="shared" si="6"/>
        <v>0.53590658449562112</v>
      </c>
      <c r="F27" s="102" t="s">
        <v>416</v>
      </c>
      <c r="G27" s="133" t="s">
        <v>379</v>
      </c>
      <c r="H27" s="72">
        <f>IFERROR(SUMIFS(D_D[INV],D_D[MT],3,D_D[CAT],TA_35,D_D[EP],$F27),0)</f>
        <v>18</v>
      </c>
      <c r="I27" s="72">
        <f>IFERROR(SUMIFS(D_D[BL],D_D[MT],3,D_D[CAT],TA_35,D_D[EP],$F27),0)</f>
        <v>3</v>
      </c>
      <c r="J27" s="79">
        <f t="shared" si="7"/>
        <v>0.16666666666666666</v>
      </c>
      <c r="K27" s="93"/>
      <c r="L27" s="7"/>
      <c r="M27" s="7"/>
      <c r="N27" s="11"/>
      <c r="O27" s="7"/>
    </row>
    <row r="28" spans="1:15" s="1" customFormat="1" ht="39.950000000000003" customHeight="1" thickBot="1" x14ac:dyDescent="0.4">
      <c r="A28" s="24" t="s">
        <v>421</v>
      </c>
      <c r="B28" s="133" t="s">
        <v>219</v>
      </c>
      <c r="C28" s="72">
        <f>IFERROR(SUMIFS(D_D[INV],D_D[MT],3,D_D[CAT],TA_23,D_D[EP],$A28),0)</f>
        <v>9</v>
      </c>
      <c r="D28" s="72">
        <f>IFERROR(SUMIFS(D_D[BL],D_D[MT],3,D_D[CAT],TA_23,D_D[EP],$A28),0)</f>
        <v>7</v>
      </c>
      <c r="E28" s="79">
        <f t="shared" si="6"/>
        <v>0.77777777777777779</v>
      </c>
      <c r="F28" s="101" t="s">
        <v>104</v>
      </c>
      <c r="G28" s="134" t="s">
        <v>378</v>
      </c>
      <c r="H28" s="73">
        <f>IFERROR(SUMIFS(D_D[INV],D_D[MT],3,D_D[CAT],TA_36,D_D[EP],$F28),0)</f>
        <v>7144</v>
      </c>
      <c r="I28" s="73">
        <f>IFERROR(SUMIFS(D_D[BL],D_D[MT],3,D_D[CAT],TA_36,D_D[EP],$F28),0)</f>
        <v>5179</v>
      </c>
      <c r="J28" s="74">
        <f t="shared" si="7"/>
        <v>0.72494400895856659</v>
      </c>
      <c r="K28" s="93"/>
      <c r="L28" s="216"/>
      <c r="M28" s="216"/>
      <c r="N28" s="11"/>
      <c r="O28" s="7"/>
    </row>
    <row r="29" spans="1:15" s="1" customFormat="1" ht="39.950000000000003" customHeight="1" x14ac:dyDescent="0.35">
      <c r="A29" s="24" t="s">
        <v>422</v>
      </c>
      <c r="B29" s="133" t="s">
        <v>220</v>
      </c>
      <c r="C29" s="72">
        <f>IFERROR(SUMIFS(D_D[INV],D_D[MT],3,D_D[CAT],TA_23,D_D[EP],$A29),0)</f>
        <v>129</v>
      </c>
      <c r="D29" s="72">
        <f>IFERROR(SUMIFS(D_D[BL],D_D[MT],3,D_D[CAT],TA_23,D_D[EP],$A29),0)</f>
        <v>45</v>
      </c>
      <c r="E29" s="79">
        <f t="shared" si="6"/>
        <v>0.34883720930232559</v>
      </c>
      <c r="F29" s="215"/>
      <c r="G29" s="216"/>
      <c r="H29" s="216"/>
      <c r="I29" s="216"/>
      <c r="J29" s="216"/>
      <c r="K29" s="216"/>
      <c r="L29" s="216"/>
      <c r="M29" s="216"/>
      <c r="N29" s="11"/>
      <c r="O29" s="7"/>
    </row>
    <row r="30" spans="1:15" s="1" customFormat="1" ht="39.950000000000003" customHeight="1" x14ac:dyDescent="0.35">
      <c r="A30" s="24" t="s">
        <v>423</v>
      </c>
      <c r="B30" s="133" t="s">
        <v>221</v>
      </c>
      <c r="C30" s="72">
        <f>IFERROR(SUMIFS(D_D[INV],D_D[MT],3,D_D[CAT],TA_23,D_D[EP],$A30),0)</f>
        <v>806</v>
      </c>
      <c r="D30" s="72">
        <f>IFERROR(SUMIFS(D_D[BL],D_D[MT],3,D_D[CAT],TA_23,D_D[EP],$A30),0)</f>
        <v>780</v>
      </c>
      <c r="E30" s="79">
        <f t="shared" si="6"/>
        <v>0.967741935483871</v>
      </c>
      <c r="F30" s="216"/>
      <c r="G30" s="216"/>
      <c r="H30" s="216"/>
      <c r="I30" s="216"/>
      <c r="J30" s="216"/>
      <c r="K30" s="216"/>
      <c r="L30" s="216"/>
      <c r="M30" s="216"/>
      <c r="N30" s="11"/>
      <c r="O30" s="7"/>
    </row>
    <row r="31" spans="1:15" s="1" customFormat="1" ht="39.950000000000003" customHeight="1" x14ac:dyDescent="0.35">
      <c r="A31" s="24" t="s">
        <v>105</v>
      </c>
      <c r="B31" s="133" t="s">
        <v>222</v>
      </c>
      <c r="C31" s="72">
        <f>IFERROR(SUMIFS(D_D[INV],D_D[MT],3,D_D[CAT],TA_23,D_D[EP],$A31),0)</f>
        <v>2539</v>
      </c>
      <c r="D31" s="72">
        <f>IFERROR(SUMIFS(D_D[BL],D_D[MT],3,D_D[CAT],TA_23,D_D[EP],$A31),0)</f>
        <v>774</v>
      </c>
      <c r="E31" s="79">
        <f t="shared" si="6"/>
        <v>0.30484442693974007</v>
      </c>
      <c r="F31" s="216"/>
      <c r="G31" s="216"/>
      <c r="H31" s="7"/>
      <c r="I31" s="7"/>
      <c r="J31" s="7"/>
      <c r="K31" s="7"/>
      <c r="L31" s="217"/>
      <c r="M31" s="216"/>
      <c r="N31" s="11"/>
      <c r="O31" s="7"/>
    </row>
    <row r="32" spans="1:15" s="1" customFormat="1" ht="39.950000000000003" customHeight="1" thickBot="1" x14ac:dyDescent="0.4">
      <c r="A32" s="24" t="s">
        <v>88</v>
      </c>
      <c r="B32" s="134" t="s">
        <v>223</v>
      </c>
      <c r="C32" s="73">
        <f>IFERROR(SUMIFS(D_D[INV],D_D[MT],3,D_D[CAT],TA_23,D_D[EP],$A32),0)</f>
        <v>145</v>
      </c>
      <c r="D32" s="73">
        <f>IFERROR(SUMIFS(D_D[BL],D_D[MT],3,D_D[CAT],TA_23,D_D[EP],$A32),0)</f>
        <v>101</v>
      </c>
      <c r="E32" s="74">
        <f t="shared" si="6"/>
        <v>0.69655172413793098</v>
      </c>
      <c r="F32" s="216"/>
      <c r="G32" s="216"/>
      <c r="H32" s="7"/>
      <c r="I32" s="7"/>
      <c r="J32" s="7"/>
      <c r="K32" s="7"/>
      <c r="L32" s="218"/>
      <c r="M32" s="216"/>
      <c r="N32" s="11"/>
      <c r="O32" s="7"/>
    </row>
    <row r="33" spans="1:15" s="1" customFormat="1" ht="39.950000000000003" customHeight="1" x14ac:dyDescent="0.35">
      <c r="A33" s="24"/>
      <c r="B33" s="201" t="s">
        <v>185</v>
      </c>
      <c r="C33" s="202">
        <f>SUM(C34:C42)</f>
        <v>68836</v>
      </c>
      <c r="D33" s="203">
        <f>SUM(D34:D42)</f>
        <v>24757</v>
      </c>
      <c r="E33" s="204">
        <f t="shared" ref="E33" si="8">IFERROR(D33/C33,0)</f>
        <v>0.35965192631762449</v>
      </c>
      <c r="F33" s="216"/>
      <c r="G33" s="216"/>
      <c r="H33" s="216"/>
      <c r="I33" s="216"/>
      <c r="J33" s="216"/>
      <c r="K33" s="216"/>
      <c r="L33" s="216"/>
      <c r="M33" s="216"/>
      <c r="N33" s="11"/>
      <c r="O33" s="7"/>
    </row>
    <row r="34" spans="1:15" s="1" customFormat="1" ht="39.950000000000003" customHeight="1" x14ac:dyDescent="0.35">
      <c r="A34" s="24" t="s">
        <v>410</v>
      </c>
      <c r="B34" s="133" t="s">
        <v>224</v>
      </c>
      <c r="C34" s="72">
        <f>IFERROR(SUMIFS(D_D[INV],D_D[MT],3,D_D[CAT],TA_24,D_D[EP],$A34),0)</f>
        <v>9040</v>
      </c>
      <c r="D34" s="72">
        <f>IFERROR(SUMIFS(D_D[BL],D_D[MT],3,D_D[CAT],TA_24,D_D[EP],$A34),0)</f>
        <v>1293</v>
      </c>
      <c r="E34" s="79">
        <f t="shared" ref="E34:E38" si="9">IFERROR(D34/C34,0)</f>
        <v>0.14303097345132743</v>
      </c>
      <c r="F34" s="216"/>
      <c r="G34" s="216"/>
      <c r="H34" s="216"/>
      <c r="I34" s="216"/>
      <c r="J34" s="216"/>
      <c r="K34" s="216"/>
      <c r="L34" s="216"/>
      <c r="M34" s="216"/>
      <c r="N34" s="11"/>
      <c r="O34" s="7"/>
    </row>
    <row r="35" spans="1:15" s="1" customFormat="1" ht="39.950000000000003" customHeight="1" x14ac:dyDescent="0.35">
      <c r="A35" s="24" t="s">
        <v>411</v>
      </c>
      <c r="B35" s="133" t="s">
        <v>225</v>
      </c>
      <c r="C35" s="72">
        <f>IFERROR(SUMIFS(D_D[INV],D_D[MT],3,D_D[CAT],TA_24,D_D[EP],$A35),0)</f>
        <v>869</v>
      </c>
      <c r="D35" s="72">
        <f>IFERROR(SUMIFS(D_D[BL],D_D[MT],3,D_D[CAT],TA_24,D_D[EP],$A35),0)</f>
        <v>146</v>
      </c>
      <c r="E35" s="79">
        <f t="shared" si="9"/>
        <v>0.16800920598388952</v>
      </c>
      <c r="F35" s="216"/>
      <c r="G35" s="216"/>
      <c r="H35" s="216"/>
      <c r="I35" s="216"/>
      <c r="J35" s="216"/>
      <c r="K35" s="216"/>
      <c r="L35" s="216"/>
      <c r="M35" s="216"/>
      <c r="N35" s="11"/>
      <c r="O35" s="7"/>
    </row>
    <row r="36" spans="1:15" s="1" customFormat="1" ht="39.950000000000003" customHeight="1" x14ac:dyDescent="0.35">
      <c r="A36" s="24" t="s">
        <v>90</v>
      </c>
      <c r="B36" s="133" t="s">
        <v>226</v>
      </c>
      <c r="C36" s="72">
        <f>IFERROR(SUMIFS(D_D[INV],D_D[MT],3,D_D[CAT],TA_24,D_D[EP],$A36),0)</f>
        <v>24545</v>
      </c>
      <c r="D36" s="72">
        <f>IFERROR(SUMIFS(D_D[BL],D_D[MT],3,D_D[CAT],TA_24,D_D[EP],$A36),0)</f>
        <v>2162</v>
      </c>
      <c r="E36" s="79">
        <f t="shared" si="9"/>
        <v>8.808311265023426E-2</v>
      </c>
      <c r="F36" s="216"/>
      <c r="G36" s="216"/>
      <c r="H36" s="217"/>
      <c r="I36" s="217"/>
      <c r="J36" s="217"/>
      <c r="K36" s="217"/>
      <c r="L36" s="7"/>
      <c r="M36" s="216"/>
      <c r="N36" s="11"/>
      <c r="O36" s="7"/>
    </row>
    <row r="37" spans="1:15" s="1" customFormat="1" ht="39.950000000000003" customHeight="1" x14ac:dyDescent="0.35">
      <c r="A37" s="24" t="s">
        <v>412</v>
      </c>
      <c r="B37" s="133" t="s">
        <v>227</v>
      </c>
      <c r="C37" s="72">
        <f>IFERROR(SUMIFS(D_D[INV],D_D[MT],3,D_D[CAT],TA_24,D_D[EP],$A37),0)</f>
        <v>33089</v>
      </c>
      <c r="D37" s="72">
        <f>IFERROR(SUMIFS(D_D[BL],D_D[MT],3,D_D[CAT],TA_24,D_D[EP],$A37),0)</f>
        <v>20353</v>
      </c>
      <c r="E37" s="79">
        <f t="shared" si="9"/>
        <v>0.61509867327510648</v>
      </c>
      <c r="F37" s="216"/>
      <c r="G37" s="216"/>
      <c r="H37" s="217"/>
      <c r="I37" s="217"/>
      <c r="J37" s="217"/>
      <c r="K37" s="217"/>
      <c r="L37" s="7"/>
      <c r="M37" s="216"/>
      <c r="N37" s="11"/>
      <c r="O37" s="7"/>
    </row>
    <row r="38" spans="1:15" s="1" customFormat="1" ht="39.950000000000003" customHeight="1" x14ac:dyDescent="0.35">
      <c r="A38" s="24" t="s">
        <v>413</v>
      </c>
      <c r="B38" s="133" t="s">
        <v>228</v>
      </c>
      <c r="C38" s="72">
        <f>IFERROR(SUMIFS(D_D[INV],D_D[MT],3,D_D[CAT],TA_24,D_D[EP],$A38),0)</f>
        <v>1258</v>
      </c>
      <c r="D38" s="72">
        <f>IFERROR(SUMIFS(D_D[BL],D_D[MT],3,D_D[CAT],TA_24,D_D[EP],$A38),0)</f>
        <v>780</v>
      </c>
      <c r="E38" s="79">
        <f t="shared" si="9"/>
        <v>0.62003179650238471</v>
      </c>
      <c r="F38" s="216"/>
      <c r="G38" s="216"/>
      <c r="H38" s="216"/>
      <c r="I38" s="216"/>
      <c r="J38" s="216"/>
      <c r="K38" s="216"/>
      <c r="L38" s="216"/>
      <c r="M38" s="216"/>
      <c r="N38" s="11"/>
      <c r="O38" s="7"/>
    </row>
    <row r="39" spans="1:15" s="1" customFormat="1" ht="39.950000000000003" customHeight="1" x14ac:dyDescent="0.35">
      <c r="A39" s="24" t="s">
        <v>81</v>
      </c>
      <c r="B39" s="133" t="s">
        <v>876</v>
      </c>
      <c r="C39" s="77">
        <f>IFERROR(SUMIFS(D_D[INV],D_D[MT],3,D_D[CAT],TA_24,D_D[EP],$A39),0)</f>
        <v>35</v>
      </c>
      <c r="D39" s="77">
        <f>IFERROR(SUMIFS(D_D[BL],D_D[MT],3,D_D[CAT],TA_24,D_D[EP],$A39),0)</f>
        <v>23</v>
      </c>
      <c r="E39" s="78">
        <f>IFERROR(D39/C39,0)</f>
        <v>0.65714285714285714</v>
      </c>
      <c r="F39" s="216"/>
      <c r="G39" s="216"/>
      <c r="H39" s="216"/>
      <c r="I39" s="216"/>
      <c r="J39" s="216"/>
      <c r="K39" s="216"/>
      <c r="L39" s="216"/>
      <c r="M39" s="216"/>
      <c r="N39" s="11"/>
      <c r="O39" s="7"/>
    </row>
    <row r="40" spans="1:15" s="1" customFormat="1" ht="50.25" customHeight="1" x14ac:dyDescent="0.35">
      <c r="A40" s="24" t="s">
        <v>420</v>
      </c>
      <c r="B40" s="133" t="s">
        <v>878</v>
      </c>
      <c r="C40" s="77">
        <f>IFERROR(SUMIFS(D_D[INV],D_D[MT],3,D_D[CAT],TA_24,D_D[EP],$A40),0)</f>
        <v>0</v>
      </c>
      <c r="D40" s="77">
        <f>IFERROR(SUMIFS(D_D[BL],D_D[MT],3,D_D[CAT],TA_24,D_D[EP],$A40),0)</f>
        <v>0</v>
      </c>
      <c r="E40" s="78">
        <f>IFERROR(D40/C40,0)</f>
        <v>0</v>
      </c>
      <c r="F40" s="216"/>
      <c r="G40" s="216"/>
      <c r="H40" s="216"/>
      <c r="I40" s="216"/>
      <c r="J40" s="216"/>
      <c r="K40" s="216"/>
      <c r="L40" s="216"/>
      <c r="M40" s="216"/>
      <c r="N40" s="11"/>
      <c r="O40" s="7"/>
    </row>
    <row r="41" spans="1:15" s="1" customFormat="1" ht="62.25" customHeight="1" x14ac:dyDescent="0.35">
      <c r="A41" s="24" t="s">
        <v>78</v>
      </c>
      <c r="B41" s="133" t="s">
        <v>877</v>
      </c>
      <c r="C41" s="77">
        <f>IFERROR(SUMIFS(D_D[INV],D_D[MT],3,D_D[CAT],TA_24,D_D[EP],$A41),0)</f>
        <v>0</v>
      </c>
      <c r="D41" s="77">
        <f>IFERROR(SUMIFS(D_D[BL],D_D[MT],3,D_D[CAT],TA_24,D_D[EP],$A41),0)</f>
        <v>0</v>
      </c>
      <c r="E41" s="78">
        <f>IFERROR(D41/C41,0)</f>
        <v>0</v>
      </c>
      <c r="F41" s="216"/>
      <c r="G41" s="216"/>
      <c r="H41" s="216"/>
      <c r="I41" s="216"/>
      <c r="J41" s="216"/>
      <c r="K41" s="216"/>
      <c r="L41" s="216"/>
      <c r="M41" s="216"/>
      <c r="N41" s="11"/>
      <c r="O41" s="7"/>
    </row>
    <row r="42" spans="1:15" s="1" customFormat="1" ht="57" customHeight="1" thickBot="1" x14ac:dyDescent="0.4">
      <c r="A42" s="24" t="s">
        <v>369</v>
      </c>
      <c r="B42" s="134" t="s">
        <v>883</v>
      </c>
      <c r="C42" s="278">
        <f>IFERROR(SUMIFS(D_D[INV],D_D[MT],3,D_D[CAT],TA_24,D_D[EP],$A42),0)</f>
        <v>0</v>
      </c>
      <c r="D42" s="77">
        <f>IFERROR(SUMIFS(D_D[BL],D_D[MT],3,D_D[CAT],TA_24,D_D[EP],$A42),0)</f>
        <v>0</v>
      </c>
      <c r="E42" s="279">
        <f>IFERROR(D42/C42,0)</f>
        <v>0</v>
      </c>
      <c r="F42" s="216"/>
      <c r="G42" s="216"/>
      <c r="H42" s="216"/>
      <c r="I42" s="216"/>
      <c r="J42" s="216"/>
      <c r="K42" s="216"/>
      <c r="L42" s="216"/>
      <c r="M42" s="216"/>
      <c r="N42" s="11"/>
      <c r="O42" s="7"/>
    </row>
    <row r="43" spans="1:15" s="1" customFormat="1" ht="39.950000000000003" customHeight="1" x14ac:dyDescent="0.35">
      <c r="A43" s="24"/>
      <c r="B43" s="201" t="s">
        <v>382</v>
      </c>
      <c r="C43" s="202">
        <f>SUM(C44:C46)</f>
        <v>24540</v>
      </c>
      <c r="D43" s="203">
        <f>SUM(D44:D46)</f>
        <v>5782</v>
      </c>
      <c r="E43" s="204">
        <f t="shared" ref="E43:E45" si="10">IFERROR(D43/C43,0)</f>
        <v>0.23561532192339038</v>
      </c>
      <c r="F43" s="216"/>
      <c r="G43" s="216"/>
      <c r="H43" s="217"/>
      <c r="I43" s="217"/>
      <c r="J43" s="217"/>
      <c r="K43" s="217"/>
      <c r="L43" s="216"/>
      <c r="M43" s="216"/>
      <c r="N43" s="11"/>
      <c r="O43" s="7"/>
    </row>
    <row r="44" spans="1:15" s="1" customFormat="1" ht="39.950000000000003" customHeight="1" x14ac:dyDescent="0.35">
      <c r="A44" s="24" t="s">
        <v>414</v>
      </c>
      <c r="B44" s="133" t="s">
        <v>380</v>
      </c>
      <c r="C44" s="72">
        <f>IFERROR(SUMIFS(D_D[INV],D_D[MT],3,D_D[CAT],TA_25,D_D[EP],$A44),0)</f>
        <v>21477</v>
      </c>
      <c r="D44" s="72">
        <f>IFERROR(SUMIFS(D_D[BL],D_D[MT],3,D_D[CAT],TA_25,D_D[EP],$A44),0)</f>
        <v>3130</v>
      </c>
      <c r="E44" s="79">
        <f t="shared" si="10"/>
        <v>0.14573730036783536</v>
      </c>
      <c r="F44" s="93"/>
      <c r="G44" s="216"/>
      <c r="H44" s="217"/>
      <c r="I44" s="217"/>
      <c r="J44" s="217"/>
      <c r="K44" s="217"/>
      <c r="L44" s="216"/>
      <c r="M44" s="216"/>
      <c r="N44" s="11"/>
      <c r="O44" s="7"/>
    </row>
    <row r="45" spans="1:15" s="1" customFormat="1" ht="39.950000000000003" customHeight="1" thickBot="1" x14ac:dyDescent="0.4">
      <c r="A45" s="24" t="s">
        <v>104</v>
      </c>
      <c r="B45" s="134" t="s">
        <v>378</v>
      </c>
      <c r="C45" s="73">
        <f>IFERROR(SUMIFS(D_D[INV],D_D[MT],3,D_D[CAT],TA_26,D_D[EP],$A45),0)</f>
        <v>3063</v>
      </c>
      <c r="D45" s="73">
        <f>IFERROR(SUMIFS(D_D[BL],D_D[MT],3,D_D[CAT],TA_26,D_D[EP],$A45),0)</f>
        <v>2652</v>
      </c>
      <c r="E45" s="74">
        <f t="shared" si="10"/>
        <v>0.86581782566111654</v>
      </c>
      <c r="F45" s="220"/>
      <c r="G45" s="220"/>
      <c r="H45" s="221"/>
      <c r="I45" s="221"/>
      <c r="J45" s="221"/>
      <c r="K45" s="221"/>
      <c r="L45" s="216"/>
      <c r="M45" s="216"/>
      <c r="N45" s="11"/>
      <c r="O45" s="7"/>
    </row>
    <row r="46" spans="1:15" ht="25.5" x14ac:dyDescent="0.35">
      <c r="L46" s="216"/>
      <c r="M46" s="216"/>
      <c r="N46" s="11"/>
    </row>
    <row r="47" spans="1:15" ht="25.5" hidden="1" x14ac:dyDescent="0.35">
      <c r="L47" s="216"/>
      <c r="M47" s="216"/>
      <c r="N47" s="11"/>
    </row>
    <row r="48" spans="1:15" ht="25.5" x14ac:dyDescent="0.35">
      <c r="L48" s="216"/>
      <c r="M48" s="216"/>
      <c r="N48" s="11"/>
    </row>
    <row r="49" spans="12:14" ht="26.25" hidden="1" thickBot="1" x14ac:dyDescent="0.4">
      <c r="L49" s="220"/>
      <c r="M49" s="220"/>
      <c r="N49" s="222"/>
    </row>
    <row r="50" spans="12:14" hidden="1" x14ac:dyDescent="0.2"/>
    <row r="51" spans="12:14" x14ac:dyDescent="0.2"/>
    <row r="52" spans="12:14" hidden="1" x14ac:dyDescent="0.2"/>
    <row r="53" spans="12:14" hidden="1" x14ac:dyDescent="0.2"/>
    <row r="54" spans="12:14" hidden="1" x14ac:dyDescent="0.2"/>
    <row r="55" spans="12:14" hidden="1" x14ac:dyDescent="0.2"/>
    <row r="56" spans="12:14" hidden="1" x14ac:dyDescent="0.2"/>
    <row r="57" spans="12:14" hidden="1" x14ac:dyDescent="0.2"/>
    <row r="58" spans="12:14" x14ac:dyDescent="0.2"/>
    <row r="59" spans="12:14" hidden="1" x14ac:dyDescent="0.2"/>
    <row r="60" spans="12:14" hidden="1" x14ac:dyDescent="0.2"/>
    <row r="61" spans="12:14" hidden="1" x14ac:dyDescent="0.2"/>
    <row r="62" spans="12:14" hidden="1" x14ac:dyDescent="0.2"/>
    <row r="63" spans="12:14" x14ac:dyDescent="0.2"/>
    <row r="64" spans="12:14" x14ac:dyDescent="0.2"/>
    <row r="65" x14ac:dyDescent="0.2"/>
    <row r="66" x14ac:dyDescent="0.2"/>
  </sheetData>
  <sheetProtection autoFilter="0"/>
  <mergeCells count="11">
    <mergeCell ref="B2:G2"/>
    <mergeCell ref="H2:L2"/>
    <mergeCell ref="L13:N13"/>
    <mergeCell ref="L20:M20"/>
    <mergeCell ref="L21:M21"/>
    <mergeCell ref="L19:N19"/>
    <mergeCell ref="L14:N14"/>
    <mergeCell ref="B3:N3"/>
    <mergeCell ref="G4:J4"/>
    <mergeCell ref="B4:E4"/>
    <mergeCell ref="L4:N4"/>
  </mergeCells>
  <conditionalFormatting sqref="E25 E42">
    <cfRule type="expression" dxfId="486" priority="98" stopIfTrue="1">
      <formula>ISERROR(E25)</formula>
    </cfRule>
  </conditionalFormatting>
  <conditionalFormatting sqref="G7">
    <cfRule type="expression" dxfId="485" priority="92" stopIfTrue="1">
      <formula>ISERROR(G7)</formula>
    </cfRule>
  </conditionalFormatting>
  <conditionalFormatting sqref="G9">
    <cfRule type="expression" dxfId="484" priority="88" stopIfTrue="1">
      <formula>ISERROR(G9)</formula>
    </cfRule>
  </conditionalFormatting>
  <conditionalFormatting sqref="J10">
    <cfRule type="expression" dxfId="483" priority="85" stopIfTrue="1">
      <formula>ISERROR(J10)</formula>
    </cfRule>
  </conditionalFormatting>
  <conditionalFormatting sqref="J17">
    <cfRule type="expression" dxfId="482" priority="84" stopIfTrue="1">
      <formula>ISERROR(J17)</formula>
    </cfRule>
  </conditionalFormatting>
  <conditionalFormatting sqref="J21">
    <cfRule type="expression" dxfId="481" priority="82" stopIfTrue="1">
      <formula>ISERROR(J21)</formula>
    </cfRule>
  </conditionalFormatting>
  <conditionalFormatting sqref="C5">
    <cfRule type="expression" dxfId="480" priority="67" stopIfTrue="1">
      <formula>ISERROR(C5)</formula>
    </cfRule>
  </conditionalFormatting>
  <conditionalFormatting sqref="H5">
    <cfRule type="expression" dxfId="479" priority="66" stopIfTrue="1">
      <formula>ISERROR(H5)</formula>
    </cfRule>
  </conditionalFormatting>
  <conditionalFormatting sqref="M5">
    <cfRule type="expression" dxfId="478" priority="60" stopIfTrue="1">
      <formula>ISERROR(M5)</formula>
    </cfRule>
  </conditionalFormatting>
  <conditionalFormatting sqref="N5">
    <cfRule type="expression" dxfId="477" priority="59" stopIfTrue="1">
      <formula>ISERROR(N5)</formula>
    </cfRule>
  </conditionalFormatting>
  <conditionalFormatting sqref="E7">
    <cfRule type="expression" dxfId="476" priority="58" stopIfTrue="1">
      <formula>ISERROR(E7)</formula>
    </cfRule>
  </conditionalFormatting>
  <conditionalFormatting sqref="E8">
    <cfRule type="expression" dxfId="475" priority="57" stopIfTrue="1">
      <formula>ISERROR(E8)</formula>
    </cfRule>
  </conditionalFormatting>
  <conditionalFormatting sqref="E9">
    <cfRule type="expression" dxfId="474" priority="56" stopIfTrue="1">
      <formula>ISERROR(E9)</formula>
    </cfRule>
  </conditionalFormatting>
  <conditionalFormatting sqref="E11">
    <cfRule type="expression" dxfId="473" priority="55" stopIfTrue="1">
      <formula>ISERROR(E11)</formula>
    </cfRule>
  </conditionalFormatting>
  <conditionalFormatting sqref="E12">
    <cfRule type="expression" dxfId="472" priority="54" stopIfTrue="1">
      <formula>ISERROR(E12)</formula>
    </cfRule>
  </conditionalFormatting>
  <conditionalFormatting sqref="E14">
    <cfRule type="expression" dxfId="471" priority="53" stopIfTrue="1">
      <formula>ISERROR(E14)</formula>
    </cfRule>
  </conditionalFormatting>
  <conditionalFormatting sqref="E15">
    <cfRule type="expression" dxfId="470" priority="52" stopIfTrue="1">
      <formula>ISERROR(E15)</formula>
    </cfRule>
  </conditionalFormatting>
  <conditionalFormatting sqref="E16">
    <cfRule type="expression" dxfId="469" priority="51" stopIfTrue="1">
      <formula>ISERROR(E16)</formula>
    </cfRule>
  </conditionalFormatting>
  <conditionalFormatting sqref="E42">
    <cfRule type="expression" dxfId="468" priority="46" stopIfTrue="1">
      <formula>ISERROR(E42)</formula>
    </cfRule>
  </conditionalFormatting>
  <conditionalFormatting sqref="E18">
    <cfRule type="expression" dxfId="467" priority="45" stopIfTrue="1">
      <formula>ISERROR(E18)</formula>
    </cfRule>
  </conditionalFormatting>
  <conditionalFormatting sqref="E19">
    <cfRule type="expression" dxfId="466" priority="44" stopIfTrue="1">
      <formula>ISERROR(E19)</formula>
    </cfRule>
  </conditionalFormatting>
  <conditionalFormatting sqref="E20">
    <cfRule type="expression" dxfId="465" priority="43" stopIfTrue="1">
      <formula>ISERROR(E20)</formula>
    </cfRule>
  </conditionalFormatting>
  <conditionalFormatting sqref="E21">
    <cfRule type="expression" dxfId="464" priority="42" stopIfTrue="1">
      <formula>ISERROR(E21)</formula>
    </cfRule>
  </conditionalFormatting>
  <conditionalFormatting sqref="E22">
    <cfRule type="expression" dxfId="463" priority="41" stopIfTrue="1">
      <formula>ISERROR(E22)</formula>
    </cfRule>
  </conditionalFormatting>
  <conditionalFormatting sqref="E23">
    <cfRule type="expression" dxfId="462" priority="40" stopIfTrue="1">
      <formula>ISERROR(E23)</formula>
    </cfRule>
  </conditionalFormatting>
  <conditionalFormatting sqref="E24">
    <cfRule type="expression" dxfId="461" priority="39" stopIfTrue="1">
      <formula>ISERROR(E24)</formula>
    </cfRule>
  </conditionalFormatting>
  <conditionalFormatting sqref="E26">
    <cfRule type="expression" dxfId="460" priority="38" stopIfTrue="1">
      <formula>ISERROR(E26)</formula>
    </cfRule>
  </conditionalFormatting>
  <conditionalFormatting sqref="E27">
    <cfRule type="expression" dxfId="459" priority="37" stopIfTrue="1">
      <formula>ISERROR(E27)</formula>
    </cfRule>
  </conditionalFormatting>
  <conditionalFormatting sqref="E28">
    <cfRule type="expression" dxfId="458" priority="36" stopIfTrue="1">
      <formula>ISERROR(E28)</formula>
    </cfRule>
  </conditionalFormatting>
  <conditionalFormatting sqref="E29">
    <cfRule type="expression" dxfId="457" priority="35" stopIfTrue="1">
      <formula>ISERROR(E29)</formula>
    </cfRule>
  </conditionalFormatting>
  <conditionalFormatting sqref="E30">
    <cfRule type="expression" dxfId="456" priority="34" stopIfTrue="1">
      <formula>ISERROR(E30)</formula>
    </cfRule>
  </conditionalFormatting>
  <conditionalFormatting sqref="E31">
    <cfRule type="expression" dxfId="455" priority="33" stopIfTrue="1">
      <formula>ISERROR(E31)</formula>
    </cfRule>
  </conditionalFormatting>
  <conditionalFormatting sqref="E32">
    <cfRule type="expression" dxfId="454" priority="32" stopIfTrue="1">
      <formula>ISERROR(E32)</formula>
    </cfRule>
  </conditionalFormatting>
  <conditionalFormatting sqref="E34">
    <cfRule type="expression" dxfId="453" priority="30" stopIfTrue="1">
      <formula>ISERROR(E34)</formula>
    </cfRule>
  </conditionalFormatting>
  <conditionalFormatting sqref="E35">
    <cfRule type="expression" dxfId="452" priority="29" stopIfTrue="1">
      <formula>ISERROR(E35)</formula>
    </cfRule>
  </conditionalFormatting>
  <conditionalFormatting sqref="E36">
    <cfRule type="expression" dxfId="451" priority="28" stopIfTrue="1">
      <formula>ISERROR(E36)</formula>
    </cfRule>
  </conditionalFormatting>
  <conditionalFormatting sqref="E37">
    <cfRule type="expression" dxfId="450" priority="27" stopIfTrue="1">
      <formula>ISERROR(E37)</formula>
    </cfRule>
  </conditionalFormatting>
  <conditionalFormatting sqref="J7">
    <cfRule type="expression" dxfId="449" priority="25" stopIfTrue="1">
      <formula>ISERROR(J7)</formula>
    </cfRule>
  </conditionalFormatting>
  <conditionalFormatting sqref="J8">
    <cfRule type="expression" dxfId="448" priority="24" stopIfTrue="1">
      <formula>ISERROR(J8)</formula>
    </cfRule>
  </conditionalFormatting>
  <conditionalFormatting sqref="J9">
    <cfRule type="expression" dxfId="447" priority="23" stopIfTrue="1">
      <formula>ISERROR(J9)</formula>
    </cfRule>
  </conditionalFormatting>
  <conditionalFormatting sqref="J11">
    <cfRule type="expression" dxfId="446" priority="22" stopIfTrue="1">
      <formula>ISERROR(J11)</formula>
    </cfRule>
  </conditionalFormatting>
  <conditionalFormatting sqref="J12">
    <cfRule type="expression" dxfId="445" priority="21" stopIfTrue="1">
      <formula>ISERROR(J12)</formula>
    </cfRule>
  </conditionalFormatting>
  <conditionalFormatting sqref="J13">
    <cfRule type="expression" dxfId="444" priority="20" stopIfTrue="1">
      <formula>ISERROR(J13)</formula>
    </cfRule>
  </conditionalFormatting>
  <conditionalFormatting sqref="J14">
    <cfRule type="expression" dxfId="443" priority="19" stopIfTrue="1">
      <formula>ISERROR(J14)</formula>
    </cfRule>
  </conditionalFormatting>
  <conditionalFormatting sqref="J15">
    <cfRule type="expression" dxfId="442" priority="18" stopIfTrue="1">
      <formula>ISERROR(J15)</formula>
    </cfRule>
  </conditionalFormatting>
  <conditionalFormatting sqref="J16">
    <cfRule type="expression" dxfId="441" priority="17" stopIfTrue="1">
      <formula>ISERROR(J16)</formula>
    </cfRule>
  </conditionalFormatting>
  <conditionalFormatting sqref="J18">
    <cfRule type="expression" dxfId="440" priority="16" stopIfTrue="1">
      <formula>ISERROR(J18)</formula>
    </cfRule>
  </conditionalFormatting>
  <conditionalFormatting sqref="J19">
    <cfRule type="expression" dxfId="439" priority="15" stopIfTrue="1">
      <formula>ISERROR(J19)</formula>
    </cfRule>
  </conditionalFormatting>
  <conditionalFormatting sqref="J20">
    <cfRule type="expression" dxfId="438" priority="14" stopIfTrue="1">
      <formula>ISERROR(J20)</formula>
    </cfRule>
  </conditionalFormatting>
  <conditionalFormatting sqref="J22">
    <cfRule type="expression" dxfId="437" priority="13" stopIfTrue="1">
      <formula>ISERROR(J22)</formula>
    </cfRule>
  </conditionalFormatting>
  <conditionalFormatting sqref="J23">
    <cfRule type="expression" dxfId="436" priority="12" stopIfTrue="1">
      <formula>ISERROR(J23)</formula>
    </cfRule>
  </conditionalFormatting>
  <conditionalFormatting sqref="J24">
    <cfRule type="expression" dxfId="435" priority="11" stopIfTrue="1">
      <formula>ISERROR(J24)</formula>
    </cfRule>
  </conditionalFormatting>
  <conditionalFormatting sqref="J25">
    <cfRule type="expression" dxfId="434" priority="10" stopIfTrue="1">
      <formula>ISERROR(J25)</formula>
    </cfRule>
  </conditionalFormatting>
  <conditionalFormatting sqref="J26">
    <cfRule type="expression" dxfId="433" priority="9" stopIfTrue="1">
      <formula>ISERROR(J26)</formula>
    </cfRule>
  </conditionalFormatting>
  <conditionalFormatting sqref="J27">
    <cfRule type="expression" dxfId="432" priority="8" stopIfTrue="1">
      <formula>ISERROR(J27)</formula>
    </cfRule>
  </conditionalFormatting>
  <conditionalFormatting sqref="J28">
    <cfRule type="expression" dxfId="431" priority="6" stopIfTrue="1">
      <formula>ISERROR(J28)</formula>
    </cfRule>
  </conditionalFormatting>
  <conditionalFormatting sqref="E44">
    <cfRule type="expression" dxfId="430" priority="5" stopIfTrue="1">
      <formula>ISERROR(E44)</formula>
    </cfRule>
  </conditionalFormatting>
  <conditionalFormatting sqref="E45">
    <cfRule type="expression" dxfId="429" priority="3" stopIfTrue="1">
      <formula>ISERROR(E45)</formula>
    </cfRule>
  </conditionalFormatting>
  <conditionalFormatting sqref="E38:E41">
    <cfRule type="expression" dxfId="428" priority="1" stopIfTrue="1">
      <formula>ISERROR(E38)</formula>
    </cfRule>
  </conditionalFormatting>
  <printOptions horizontalCentered="1" verticalCentered="1"/>
  <pageMargins left="0.25" right="0.25" top="0.75" bottom="0.75" header="0.3" footer="0.3"/>
  <pageSetup scale="46"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28" max="21" man="1"/>
  </rowBreaks>
  <ignoredErrors>
    <ignoredError sqref="C10:D10 H17:I17 C17:D17 H21:I21 C25:D25" formula="1"/>
    <ignoredError sqref="K8:K11" numberStoredAsText="1"/>
  </ignoredError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dimension ref="A1:T90"/>
  <sheetViews>
    <sheetView zoomScale="80" zoomScaleNormal="80" workbookViewId="0">
      <pane xSplit="2" ySplit="6" topLeftCell="C7" activePane="bottomRight" state="frozen"/>
      <selection pane="topRight" activeCell="C1" sqref="C1"/>
      <selection pane="bottomLeft" activeCell="A6" sqref="A6"/>
      <selection pane="bottomRight" activeCell="A8" sqref="A8"/>
    </sheetView>
  </sheetViews>
  <sheetFormatPr defaultColWidth="0" defaultRowHeight="12.75" zeroHeight="1" x14ac:dyDescent="0.2"/>
  <cols>
    <col min="1" max="1" width="4.85546875" customWidth="1"/>
    <col min="2" max="2" width="22.5703125" bestFit="1" customWidth="1"/>
    <col min="3" max="19" width="12.85546875" customWidth="1"/>
    <col min="20" max="20" width="2.85546875" customWidth="1"/>
    <col min="21" max="16384" width="9.140625" hidden="1"/>
  </cols>
  <sheetData>
    <row r="1" spans="1:20" x14ac:dyDescent="0.2">
      <c r="A1" s="4"/>
      <c r="B1" s="5"/>
      <c r="C1" s="12">
        <v>2000</v>
      </c>
      <c r="D1" s="12">
        <v>2000</v>
      </c>
      <c r="E1" s="13">
        <v>11</v>
      </c>
      <c r="F1" s="13">
        <v>11</v>
      </c>
      <c r="G1" s="13"/>
      <c r="H1" s="13">
        <v>12</v>
      </c>
      <c r="I1" s="13">
        <v>12</v>
      </c>
      <c r="J1" s="13"/>
      <c r="K1" s="13">
        <v>13</v>
      </c>
      <c r="L1" s="13">
        <v>13</v>
      </c>
      <c r="M1" s="13"/>
      <c r="N1" s="13">
        <v>14</v>
      </c>
      <c r="O1" s="13">
        <v>14</v>
      </c>
      <c r="P1" s="13"/>
      <c r="Q1" s="13">
        <v>15</v>
      </c>
      <c r="R1" s="13">
        <v>16</v>
      </c>
      <c r="S1" s="13">
        <v>1</v>
      </c>
      <c r="T1" s="4"/>
    </row>
    <row r="2" spans="1:20" ht="18" x14ac:dyDescent="0.25">
      <c r="A2" s="4"/>
      <c r="B2" s="367" t="s">
        <v>834</v>
      </c>
      <c r="C2" s="379" t="str">
        <f>("Inventory by Regional Office - Data through ")</f>
        <v xml:space="preserve">Inventory by Regional Office - Data through </v>
      </c>
      <c r="D2" s="380"/>
      <c r="E2" s="380"/>
      <c r="F2" s="380"/>
      <c r="G2" s="381">
        <f>D_DT[]</f>
        <v>43540</v>
      </c>
      <c r="H2" s="381"/>
      <c r="I2" s="381"/>
      <c r="J2" s="381"/>
      <c r="K2" s="264"/>
      <c r="L2" s="264"/>
      <c r="M2" s="264"/>
      <c r="N2" s="264"/>
      <c r="O2" s="264"/>
      <c r="P2" s="264"/>
      <c r="Q2" s="264"/>
      <c r="R2" s="264"/>
      <c r="S2" s="265"/>
      <c r="T2" s="4"/>
    </row>
    <row r="3" spans="1:20" ht="15" x14ac:dyDescent="0.2">
      <c r="A3" s="4"/>
      <c r="B3" s="367"/>
      <c r="C3" s="382" t="s">
        <v>857</v>
      </c>
      <c r="D3" s="383"/>
      <c r="E3" s="383"/>
      <c r="F3" s="383"/>
      <c r="G3" s="383"/>
      <c r="H3" s="383"/>
      <c r="I3" s="383"/>
      <c r="J3" s="383"/>
      <c r="K3" s="383"/>
      <c r="L3" s="383"/>
      <c r="M3" s="383"/>
      <c r="N3" s="383"/>
      <c r="O3" s="383"/>
      <c r="P3" s="383"/>
      <c r="Q3" s="383"/>
      <c r="R3" s="383"/>
      <c r="S3" s="384"/>
      <c r="T3" s="4"/>
    </row>
    <row r="4" spans="1:20" ht="20.100000000000001" customHeight="1" x14ac:dyDescent="0.2">
      <c r="A4" s="4"/>
      <c r="B4" s="368"/>
      <c r="C4" s="377" t="s">
        <v>180</v>
      </c>
      <c r="D4" s="377"/>
      <c r="E4" s="378" t="s">
        <v>418</v>
      </c>
      <c r="F4" s="378"/>
      <c r="G4" s="378"/>
      <c r="H4" s="378" t="s">
        <v>5</v>
      </c>
      <c r="I4" s="378"/>
      <c r="J4" s="378"/>
      <c r="K4" s="378" t="s">
        <v>419</v>
      </c>
      <c r="L4" s="378"/>
      <c r="M4" s="378"/>
      <c r="N4" s="378" t="s">
        <v>6</v>
      </c>
      <c r="O4" s="378"/>
      <c r="P4" s="378"/>
      <c r="Q4" s="240" t="s">
        <v>7</v>
      </c>
      <c r="R4" s="240" t="s">
        <v>8</v>
      </c>
      <c r="S4" s="240" t="s">
        <v>9</v>
      </c>
      <c r="T4" s="4"/>
    </row>
    <row r="5" spans="1:20" ht="38.25" x14ac:dyDescent="0.2">
      <c r="A5" s="14"/>
      <c r="B5" s="10"/>
      <c r="C5" s="15" t="s">
        <v>10</v>
      </c>
      <c r="D5" s="16" t="s">
        <v>107</v>
      </c>
      <c r="E5" s="17" t="s">
        <v>10</v>
      </c>
      <c r="F5" s="18" t="s">
        <v>1</v>
      </c>
      <c r="G5" s="19" t="s">
        <v>2</v>
      </c>
      <c r="H5" s="17" t="s">
        <v>10</v>
      </c>
      <c r="I5" s="18" t="s">
        <v>1</v>
      </c>
      <c r="J5" s="19" t="s">
        <v>2</v>
      </c>
      <c r="K5" s="17" t="s">
        <v>10</v>
      </c>
      <c r="L5" s="18" t="s">
        <v>1</v>
      </c>
      <c r="M5" s="19" t="s">
        <v>2</v>
      </c>
      <c r="N5" s="17" t="s">
        <v>10</v>
      </c>
      <c r="O5" s="18" t="s">
        <v>1</v>
      </c>
      <c r="P5" s="19" t="s">
        <v>2</v>
      </c>
      <c r="Q5" s="20" t="s">
        <v>10</v>
      </c>
      <c r="R5" s="20" t="s">
        <v>10</v>
      </c>
      <c r="S5" s="21" t="s">
        <v>355</v>
      </c>
      <c r="T5" s="22"/>
    </row>
    <row r="6" spans="1:20" ht="18" x14ac:dyDescent="0.25">
      <c r="A6" s="4"/>
      <c r="B6" s="8"/>
      <c r="C6" s="369" t="s">
        <v>432</v>
      </c>
      <c r="D6" s="370"/>
      <c r="E6" s="370"/>
      <c r="F6" s="370"/>
      <c r="G6" s="370"/>
      <c r="H6" s="370"/>
      <c r="I6" s="370"/>
      <c r="J6" s="370"/>
      <c r="K6" s="370"/>
      <c r="L6" s="370"/>
      <c r="M6" s="370"/>
      <c r="N6" s="370"/>
      <c r="O6" s="370"/>
      <c r="P6" s="370"/>
      <c r="Q6" s="370"/>
      <c r="R6" s="370"/>
      <c r="S6" s="371"/>
      <c r="T6" s="7"/>
    </row>
    <row r="7" spans="1:20" x14ac:dyDescent="0.2">
      <c r="A7" s="23">
        <v>100</v>
      </c>
      <c r="B7" s="223" t="s">
        <v>351</v>
      </c>
      <c r="C7" s="224">
        <f>IFERROR(SUMIFS(D_D[INV],D_D[MT],1,D_D[CAT],TA_20,D_D[EP],-1, D_D[LOC],$A7),0)</f>
        <v>74224</v>
      </c>
      <c r="D7" s="225">
        <f>IFERROR(SUMIFS(D_D[ADP],D_D[MT],1,D_D[CAT],D$1,D_D[EP],-1, D_D[LOC],$A7),0)</f>
        <v>101.54</v>
      </c>
      <c r="E7" s="224">
        <f>IFERROR(SUMIFS(D_D[INV],D_D[MT],2,D_D[CAT],TA_21,D_D[EP],-1, D_D[LOC],$A7),0)</f>
        <v>326991</v>
      </c>
      <c r="F7" s="224">
        <f>IFERROR(SUMIFS(D_D[BL],D_D[MT],2,D_D[CAT],TA_21,D_D[EP],-1, D_D[LOC],$A7),0)</f>
        <v>78034</v>
      </c>
      <c r="G7" s="226">
        <f t="shared" ref="G7" si="0">IFERROR(F7/E7,"0%")</f>
        <v>0.23864265377334545</v>
      </c>
      <c r="H7" s="224">
        <f>IFERROR(SUMIFS(D_D[INV],D_D[MT],2,D_D[CAT],TA_22,D_D[EP],-1, D_D[LOC],$A7),0)</f>
        <v>308985</v>
      </c>
      <c r="I7" s="224">
        <f>IFERROR(SUMIFS(D_D[BL],D_D[MT],2,D_D[CAT],TA_22,D_D[EP],-1, D_D[LOC],$A7),0)</f>
        <v>57302</v>
      </c>
      <c r="J7" s="226">
        <f t="shared" ref="J7" si="1">IFERROR(I7/H7,"0%")</f>
        <v>0.18545236823794034</v>
      </c>
      <c r="K7" s="224">
        <f>IFERROR(SUMIFS(D_D[INV],D_D[MT],2,D_D[CAT],TA_23,D_D[EP],-1, D_D[LOC],$A7),0)</f>
        <v>20650</v>
      </c>
      <c r="L7" s="224">
        <f>IFERROR(SUMIFS(D_D[BL],D_D[MT],2,D_D[CAT],TA_23,D_D[EP],-1, D_D[LOC],$A7),0)</f>
        <v>11171</v>
      </c>
      <c r="M7" s="226">
        <f t="shared" ref="M7" si="2">IFERROR(L7/K7,"0%")</f>
        <v>0.54096852300242126</v>
      </c>
      <c r="N7" s="224">
        <f>IFERROR(SUMIFS(D_D[INV],D_D[MT],2,D_D[CAT],TA_24,D_D[EP],-1, D_D[LOC],$A7),0)</f>
        <v>71403</v>
      </c>
      <c r="O7" s="224">
        <f>IFERROR(SUMIFS(D_D[BL],D_D[MT],2,D_D[CAT],TA_24,D_D[EP],-1, D_D[LOC],$A7),0)</f>
        <v>26452</v>
      </c>
      <c r="P7" s="226">
        <f t="shared" ref="P7" si="3">IFERROR(O7/N7,"0%")</f>
        <v>0.37046062490371551</v>
      </c>
      <c r="Q7" s="227">
        <f>IFERROR(SUMIFS(D_D[INV],D_D[MT],2,D_D[CAT],TA_25,D_D[EP],-1, D_D[LOC],$A7),0)</f>
        <v>21477</v>
      </c>
      <c r="R7" s="47">
        <f>IFERROR(SUMIFS(D_D[INV],D_D[MT],2,D_D[CAT],TA_26,D_D[EP],-1, D_D[LOC],$A7),0)</f>
        <v>3063</v>
      </c>
      <c r="S7" s="227">
        <f>IFERROR(SUMIFS(D_D[INV],D_D[MT],7,D_D[CAT],2,D_D[EP],TA_20, D_D[LOC],$A7),0)</f>
        <v>241655</v>
      </c>
      <c r="T7" s="7"/>
    </row>
    <row r="8" spans="1:20" x14ac:dyDescent="0.2">
      <c r="A8" s="23">
        <v>394</v>
      </c>
      <c r="B8" s="228" t="s">
        <v>875</v>
      </c>
      <c r="C8" s="44">
        <f>IFERROR(SUMIFS(D_D[INV],D_D[MT],1,D_D[CAT],TA_20,D_D[EP],-1, D_D[LOC],$A8),0)</f>
        <v>23489</v>
      </c>
      <c r="D8" s="38">
        <f>IFERROR(SUMIFS(D_D[ADP],D_D[MT],1,D_D[CAT],D$1,D_D[EP],-1, D_D[LOC],$A8),0)</f>
        <v>109.07</v>
      </c>
      <c r="E8" s="45">
        <f>IFERROR(SUMIFS(D_D[INV],D_D[MT],2,D_D[CAT],TA_21,D_D[EP],-1, D_D[LOC],$A8),0)</f>
        <v>82764</v>
      </c>
      <c r="F8" s="44">
        <f>IFERROR(SUMIFS(D_D[BL],D_D[MT],2,D_D[CAT],TA_21,D_D[EP],-1, D_D[LOC],$A8),0)</f>
        <v>21197</v>
      </c>
      <c r="G8" s="46">
        <f t="shared" ref="G8:G71" si="4">IFERROR(F8/E8,"0%")</f>
        <v>0.25611376927166402</v>
      </c>
      <c r="H8" s="44">
        <f>IFERROR(SUMIFS(D_D[INV],D_D[MT],2,D_D[CAT],TA_22,D_D[EP],-1, D_D[LOC],$A8),0)</f>
        <v>67300</v>
      </c>
      <c r="I8" s="44">
        <f>IFERROR(SUMIFS(D_D[BL],D_D[MT],2,D_D[CAT],TA_22,D_D[EP],-1, D_D[LOC],$A8),0)</f>
        <v>17630</v>
      </c>
      <c r="J8" s="46">
        <f t="shared" ref="J8:J71" si="5">IFERROR(I8/H8,"0%")</f>
        <v>0.26196136701337297</v>
      </c>
      <c r="K8" s="44">
        <f>IFERROR(SUMIFS(D_D[INV],D_D[MT],2,D_D[CAT],TA_23,D_D[EP],-1, D_D[LOC],$A8),0)</f>
        <v>1399</v>
      </c>
      <c r="L8" s="44">
        <f>IFERROR(SUMIFS(D_D[BL],D_D[MT],2,D_D[CAT],TA_23,D_D[EP],-1, D_D[LOC],$A8),0)</f>
        <v>1009</v>
      </c>
      <c r="M8" s="46">
        <f t="shared" ref="M8:M71" si="6">IFERROR(L8/K8,"0%")</f>
        <v>0.72122944960686208</v>
      </c>
      <c r="N8" s="44">
        <f>IFERROR(SUMIFS(D_D[INV],D_D[MT],2,D_D[CAT],TA_24,D_D[EP],-1, D_D[LOC],$A8),0)</f>
        <v>28933</v>
      </c>
      <c r="O8" s="44">
        <f>IFERROR(SUMIFS(D_D[BL],D_D[MT],2,D_D[CAT],TA_24,D_D[EP],-1, D_D[LOC],$A8),0)</f>
        <v>6900</v>
      </c>
      <c r="P8" s="46">
        <f t="shared" ref="P8:P71" si="7">IFERROR(O8/N8,"0%")</f>
        <v>0.23848201016140738</v>
      </c>
      <c r="Q8" s="44">
        <f>IFERROR(SUMIFS(D_D[INV],D_D[MT],2,D_D[CAT],TA_25,D_D[EP],-1, D_D[LOC],$A8),0)</f>
        <v>13890</v>
      </c>
      <c r="R8" s="47">
        <f>IFERROR(SUMIFS(D_D[INV],D_D[MT],2,D_D[CAT],TA_26,D_D[EP],-1, D_D[LOC],$A8),0)</f>
        <v>497</v>
      </c>
      <c r="S8" s="47">
        <f>IFERROR(SUMIFS(D_D[INV],D_D[MT],7,D_D[CAT],2,D_D[EP],TA_20, D_D[LOC],$A8),0)</f>
        <v>70544</v>
      </c>
      <c r="T8" s="7"/>
    </row>
    <row r="9" spans="1:20" x14ac:dyDescent="0.2">
      <c r="A9" s="24" t="s">
        <v>116</v>
      </c>
      <c r="B9" s="97" t="s">
        <v>27</v>
      </c>
      <c r="C9" s="43">
        <f>IFERROR(SUMIFS(D_D[INV],D_D[MT],1,D_D[CAT],TA_20,D_D[EP],-1, D_D[LOC],$A9),0)</f>
        <v>406</v>
      </c>
      <c r="D9" s="39">
        <f>IFERROR(SUMIFS(D_D[ADP],D_D[MT],1,D_D[CAT],D$1,D_D[EP],-1, D_D[LOC],$A9),0)</f>
        <v>245.04</v>
      </c>
      <c r="E9" s="37">
        <f>IFERROR(SUMIFS(D_D[INV],D_D[MT],2,D_D[CAT],TA_21,D_D[EP],-1, D_D[LOC],$A9),0)</f>
        <v>4583</v>
      </c>
      <c r="F9" s="36">
        <f>IFERROR(SUMIFS(D_D[BL],D_D[MT],2,D_D[CAT],TA_21,D_D[EP],-1, D_D[LOC],$A9),0)</f>
        <v>1170</v>
      </c>
      <c r="G9" s="48">
        <f t="shared" si="4"/>
        <v>0.25529129391228456</v>
      </c>
      <c r="H9" s="35">
        <f>IFERROR(SUMIFS(D_D[INV],D_D[MT],2,D_D[CAT],TA_22,D_D[EP],-1, D_D[LOC],$A9),0)</f>
        <v>1129</v>
      </c>
      <c r="I9" s="36">
        <f>IFERROR(SUMIFS(D_D[BL],D_D[MT],2,D_D[CAT],TA_22,D_D[EP],-1, D_D[LOC],$A9),0)</f>
        <v>559</v>
      </c>
      <c r="J9" s="48">
        <f t="shared" si="5"/>
        <v>0.49512843224092118</v>
      </c>
      <c r="K9" s="41">
        <f>IFERROR(SUMIFS(D_D[INV],D_D[MT],2,D_D[CAT],TA_23,D_D[EP],-1, D_D[LOC],$A9),0)</f>
        <v>71</v>
      </c>
      <c r="L9" s="42">
        <f>IFERROR(SUMIFS(D_D[BL],D_D[MT],2,D_D[CAT],TA_23,D_D[EP],-1, D_D[LOC],$A9),0)</f>
        <v>36</v>
      </c>
      <c r="M9" s="48">
        <f t="shared" si="6"/>
        <v>0.50704225352112675</v>
      </c>
      <c r="N9" s="41">
        <f>IFERROR(SUMIFS(D_D[INV],D_D[MT],2,D_D[CAT],TA_24,D_D[EP],-1, D_D[LOC],$A9),0)</f>
        <v>846</v>
      </c>
      <c r="O9" s="42">
        <f>IFERROR(SUMIFS(D_D[BL],D_D[MT],2,D_D[CAT],TA_24,D_D[EP],-1, D_D[LOC],$A9),0)</f>
        <v>422</v>
      </c>
      <c r="P9" s="48">
        <f t="shared" si="7"/>
        <v>0.49881796690307328</v>
      </c>
      <c r="Q9" s="40">
        <f>IFERROR(SUMIFS(D_D[INV],D_D[MT],2,D_D[CAT],TA_25,D_D[EP],-1, D_D[LOC],$A9),0)</f>
        <v>0</v>
      </c>
      <c r="R9" s="40">
        <f>IFERROR(SUMIFS(D_D[INV],D_D[MT],2,D_D[CAT],TA_26,D_D[EP],-1, D_D[LOC],$A9),0)</f>
        <v>33</v>
      </c>
      <c r="S9" s="40">
        <f>IFERROR(SUMIFS(D_D[INV],D_D[MT],7,D_D[CAT],2,D_D[EP],TA_20, D_D[LOC],$A9),0)</f>
        <v>3769</v>
      </c>
      <c r="T9" s="7"/>
    </row>
    <row r="10" spans="1:20" x14ac:dyDescent="0.2">
      <c r="A10" s="24" t="s">
        <v>109</v>
      </c>
      <c r="B10" s="97" t="s">
        <v>29</v>
      </c>
      <c r="C10" s="43">
        <f>IFERROR(SUMIFS(D_D[INV],D_D[MT],1,D_D[CAT],TA_20,D_D[EP],-1, D_D[LOC],$A10),0)</f>
        <v>211</v>
      </c>
      <c r="D10" s="39">
        <f>IFERROR(SUMIFS(D_D[ADP],D_D[MT],1,D_D[CAT],D$1,D_D[EP],-1, D_D[LOC],$A10),0)</f>
        <v>157.62</v>
      </c>
      <c r="E10" s="37">
        <f>IFERROR(SUMIFS(D_D[INV],D_D[MT],2,D_D[CAT],TA_21,D_D[EP],-1, D_D[LOC],$A10),0)</f>
        <v>1747</v>
      </c>
      <c r="F10" s="36">
        <f>IFERROR(SUMIFS(D_D[BL],D_D[MT],2,D_D[CAT],TA_21,D_D[EP],-1, D_D[LOC],$A10),0)</f>
        <v>616</v>
      </c>
      <c r="G10" s="48">
        <f t="shared" ref="G10:G30" si="8">IFERROR(F10/E10,"0%")</f>
        <v>0.35260446479679453</v>
      </c>
      <c r="H10" s="35">
        <f>IFERROR(SUMIFS(D_D[INV],D_D[MT],2,D_D[CAT],TA_22,D_D[EP],-1, D_D[LOC],$A10),0)</f>
        <v>869</v>
      </c>
      <c r="I10" s="36">
        <f>IFERROR(SUMIFS(D_D[BL],D_D[MT],2,D_D[CAT],TA_22,D_D[EP],-1, D_D[LOC],$A10),0)</f>
        <v>440</v>
      </c>
      <c r="J10" s="48">
        <f t="shared" ref="J10:J30" si="9">IFERROR(I10/H10,"0%")</f>
        <v>0.50632911392405067</v>
      </c>
      <c r="K10" s="41">
        <f>IFERROR(SUMIFS(D_D[INV],D_D[MT],2,D_D[CAT],TA_23,D_D[EP],-1, D_D[LOC],$A10),0)</f>
        <v>15</v>
      </c>
      <c r="L10" s="42">
        <f>IFERROR(SUMIFS(D_D[BL],D_D[MT],2,D_D[CAT],TA_23,D_D[EP],-1, D_D[LOC],$A10),0)</f>
        <v>8</v>
      </c>
      <c r="M10" s="48">
        <f t="shared" ref="M10:M30" si="10">IFERROR(L10/K10,"0%")</f>
        <v>0.53333333333333333</v>
      </c>
      <c r="N10" s="41">
        <f>IFERROR(SUMIFS(D_D[INV],D_D[MT],2,D_D[CAT],TA_24,D_D[EP],-1, D_D[LOC],$A10),0)</f>
        <v>155</v>
      </c>
      <c r="O10" s="42">
        <f>IFERROR(SUMIFS(D_D[BL],D_D[MT],2,D_D[CAT],TA_24,D_D[EP],-1, D_D[LOC],$A10),0)</f>
        <v>111</v>
      </c>
      <c r="P10" s="48">
        <f t="shared" ref="P10:P30" si="11">IFERROR(O10/N10,"0%")</f>
        <v>0.71612903225806457</v>
      </c>
      <c r="Q10" s="40">
        <f>IFERROR(SUMIFS(D_D[INV],D_D[MT],2,D_D[CAT],TA_25,D_D[EP],-1, D_D[LOC],$A10),0)</f>
        <v>0</v>
      </c>
      <c r="R10" s="40">
        <f>IFERROR(SUMIFS(D_D[INV],D_D[MT],2,D_D[CAT],TA_26,D_D[EP],-1, D_D[LOC],$A10),0)</f>
        <v>12</v>
      </c>
      <c r="S10" s="40">
        <f>IFERROR(SUMIFS(D_D[INV],D_D[MT],7,D_D[CAT],2,D_D[EP],TA_20, D_D[LOC],$A10),0)</f>
        <v>3373</v>
      </c>
      <c r="T10" s="7"/>
    </row>
    <row r="11" spans="1:20" x14ac:dyDescent="0.2">
      <c r="A11" s="24" t="s">
        <v>112</v>
      </c>
      <c r="B11" s="97" t="s">
        <v>20</v>
      </c>
      <c r="C11" s="43">
        <f>IFERROR(SUMIFS(D_D[INV],D_D[MT],1,D_D[CAT],TA_20,D_D[EP],-1, D_D[LOC],$A11),0)</f>
        <v>378</v>
      </c>
      <c r="D11" s="39">
        <f>IFERROR(SUMIFS(D_D[ADP],D_D[MT],1,D_D[CAT],D$1,D_D[EP],-1, D_D[LOC],$A11),0)</f>
        <v>105.81</v>
      </c>
      <c r="E11" s="37">
        <f>IFERROR(SUMIFS(D_D[INV],D_D[MT],2,D_D[CAT],TA_21,D_D[EP],-1, D_D[LOC],$A11),0)</f>
        <v>2540</v>
      </c>
      <c r="F11" s="36">
        <f>IFERROR(SUMIFS(D_D[BL],D_D[MT],2,D_D[CAT],TA_21,D_D[EP],-1, D_D[LOC],$A11),0)</f>
        <v>695</v>
      </c>
      <c r="G11" s="48">
        <f t="shared" si="8"/>
        <v>0.2736220472440945</v>
      </c>
      <c r="H11" s="35">
        <f>IFERROR(SUMIFS(D_D[INV],D_D[MT],2,D_D[CAT],TA_22,D_D[EP],-1, D_D[LOC],$A11),0)</f>
        <v>1271</v>
      </c>
      <c r="I11" s="36">
        <f>IFERROR(SUMIFS(D_D[BL],D_D[MT],2,D_D[CAT],TA_22,D_D[EP],-1, D_D[LOC],$A11),0)</f>
        <v>626</v>
      </c>
      <c r="J11" s="48">
        <f t="shared" si="9"/>
        <v>0.49252557041699452</v>
      </c>
      <c r="K11" s="41">
        <f>IFERROR(SUMIFS(D_D[INV],D_D[MT],2,D_D[CAT],TA_23,D_D[EP],-1, D_D[LOC],$A11),0)</f>
        <v>14</v>
      </c>
      <c r="L11" s="42">
        <f>IFERROR(SUMIFS(D_D[BL],D_D[MT],2,D_D[CAT],TA_23,D_D[EP],-1, D_D[LOC],$A11),0)</f>
        <v>4</v>
      </c>
      <c r="M11" s="48">
        <f t="shared" si="10"/>
        <v>0.2857142857142857</v>
      </c>
      <c r="N11" s="41">
        <f>IFERROR(SUMIFS(D_D[INV],D_D[MT],2,D_D[CAT],TA_24,D_D[EP],-1, D_D[LOC],$A11),0)</f>
        <v>301</v>
      </c>
      <c r="O11" s="42">
        <f>IFERROR(SUMIFS(D_D[BL],D_D[MT],2,D_D[CAT],TA_24,D_D[EP],-1, D_D[LOC],$A11),0)</f>
        <v>144</v>
      </c>
      <c r="P11" s="48">
        <f t="shared" si="11"/>
        <v>0.47840531561461797</v>
      </c>
      <c r="Q11" s="40">
        <f>IFERROR(SUMIFS(D_D[INV],D_D[MT],2,D_D[CAT],TA_25,D_D[EP],-1, D_D[LOC],$A11),0)</f>
        <v>0</v>
      </c>
      <c r="R11" s="40">
        <f>IFERROR(SUMIFS(D_D[INV],D_D[MT],2,D_D[CAT],TA_26,D_D[EP],-1, D_D[LOC],$A11),0)</f>
        <v>4</v>
      </c>
      <c r="S11" s="40">
        <f>IFERROR(SUMIFS(D_D[INV],D_D[MT],7,D_D[CAT],2,D_D[EP],TA_20, D_D[LOC],$A11),0)</f>
        <v>3164</v>
      </c>
      <c r="T11" s="7"/>
    </row>
    <row r="12" spans="1:20" x14ac:dyDescent="0.2">
      <c r="A12" s="24" t="s">
        <v>128</v>
      </c>
      <c r="B12" s="97" t="s">
        <v>30</v>
      </c>
      <c r="C12" s="43">
        <f>IFERROR(SUMIFS(D_D[INV],D_D[MT],1,D_D[CAT],TA_20,D_D[EP],-1, D_D[LOC],$A12),0)</f>
        <v>556</v>
      </c>
      <c r="D12" s="39">
        <f>IFERROR(SUMIFS(D_D[ADP],D_D[MT],1,D_D[CAT],D$1,D_D[EP],-1, D_D[LOC],$A12),0)</f>
        <v>115.98</v>
      </c>
      <c r="E12" s="37">
        <f>IFERROR(SUMIFS(D_D[INV],D_D[MT],2,D_D[CAT],TA_21,D_D[EP],-1, D_D[LOC],$A12),0)</f>
        <v>5786</v>
      </c>
      <c r="F12" s="36">
        <f>IFERROR(SUMIFS(D_D[BL],D_D[MT],2,D_D[CAT],TA_21,D_D[EP],-1, D_D[LOC],$A12),0)</f>
        <v>1720</v>
      </c>
      <c r="G12" s="48">
        <f t="shared" si="8"/>
        <v>0.29726927065330105</v>
      </c>
      <c r="H12" s="35">
        <f>IFERROR(SUMIFS(D_D[INV],D_D[MT],2,D_D[CAT],TA_22,D_D[EP],-1, D_D[LOC],$A12),0)</f>
        <v>1423</v>
      </c>
      <c r="I12" s="36">
        <f>IFERROR(SUMIFS(D_D[BL],D_D[MT],2,D_D[CAT],TA_22,D_D[EP],-1, D_D[LOC],$A12),0)</f>
        <v>598</v>
      </c>
      <c r="J12" s="48">
        <f t="shared" si="9"/>
        <v>0.42023893183415317</v>
      </c>
      <c r="K12" s="41">
        <f>IFERROR(SUMIFS(D_D[INV],D_D[MT],2,D_D[CAT],TA_23,D_D[EP],-1, D_D[LOC],$A12),0)</f>
        <v>26</v>
      </c>
      <c r="L12" s="42">
        <f>IFERROR(SUMIFS(D_D[BL],D_D[MT],2,D_D[CAT],TA_23,D_D[EP],-1, D_D[LOC],$A12),0)</f>
        <v>17</v>
      </c>
      <c r="M12" s="48">
        <f t="shared" si="10"/>
        <v>0.65384615384615385</v>
      </c>
      <c r="N12" s="41">
        <f>IFERROR(SUMIFS(D_D[INV],D_D[MT],2,D_D[CAT],TA_24,D_D[EP],-1, D_D[LOC],$A12),0)</f>
        <v>640</v>
      </c>
      <c r="O12" s="42">
        <f>IFERROR(SUMIFS(D_D[BL],D_D[MT],2,D_D[CAT],TA_24,D_D[EP],-1, D_D[LOC],$A12),0)</f>
        <v>249</v>
      </c>
      <c r="P12" s="48">
        <f t="shared" si="11"/>
        <v>0.38906249999999998</v>
      </c>
      <c r="Q12" s="40">
        <f>IFERROR(SUMIFS(D_D[INV],D_D[MT],2,D_D[CAT],TA_25,D_D[EP],-1, D_D[LOC],$A12),0)</f>
        <v>0</v>
      </c>
      <c r="R12" s="40">
        <f>IFERROR(SUMIFS(D_D[INV],D_D[MT],2,D_D[CAT],TA_26,D_D[EP],-1, D_D[LOC],$A12),0)</f>
        <v>91</v>
      </c>
      <c r="S12" s="40">
        <f>IFERROR(SUMIFS(D_D[INV],D_D[MT],7,D_D[CAT],2,D_D[EP],TA_20, D_D[LOC],$A12),0)</f>
        <v>4869</v>
      </c>
      <c r="T12" s="7"/>
    </row>
    <row r="13" spans="1:20" x14ac:dyDescent="0.2">
      <c r="A13" s="24" t="s">
        <v>125</v>
      </c>
      <c r="B13" s="97" t="s">
        <v>31</v>
      </c>
      <c r="C13" s="43">
        <f>IFERROR(SUMIFS(D_D[INV],D_D[MT],1,D_D[CAT],TA_20,D_D[EP],-1, D_D[LOC],$A13),0)</f>
        <v>1479</v>
      </c>
      <c r="D13" s="39">
        <f>IFERROR(SUMIFS(D_D[ADP],D_D[MT],1,D_D[CAT],D$1,D_D[EP],-1, D_D[LOC],$A13),0)</f>
        <v>78.19</v>
      </c>
      <c r="E13" s="37">
        <f>IFERROR(SUMIFS(D_D[INV],D_D[MT],2,D_D[CAT],TA_21,D_D[EP],-1, D_D[LOC],$A13),0)</f>
        <v>11830</v>
      </c>
      <c r="F13" s="36">
        <f>IFERROR(SUMIFS(D_D[BL],D_D[MT],2,D_D[CAT],TA_21,D_D[EP],-1, D_D[LOC],$A13),0)</f>
        <v>2354</v>
      </c>
      <c r="G13" s="48">
        <f t="shared" si="8"/>
        <v>0.19898562975486053</v>
      </c>
      <c r="H13" s="35">
        <f>IFERROR(SUMIFS(D_D[INV],D_D[MT],2,D_D[CAT],TA_22,D_D[EP],-1, D_D[LOC],$A13),0)</f>
        <v>3209</v>
      </c>
      <c r="I13" s="36">
        <f>IFERROR(SUMIFS(D_D[BL],D_D[MT],2,D_D[CAT],TA_22,D_D[EP],-1, D_D[LOC],$A13),0)</f>
        <v>971</v>
      </c>
      <c r="J13" s="48">
        <f t="shared" si="9"/>
        <v>0.30258647553755064</v>
      </c>
      <c r="K13" s="41">
        <f>IFERROR(SUMIFS(D_D[INV],D_D[MT],2,D_D[CAT],TA_23,D_D[EP],-1, D_D[LOC],$A13),0)</f>
        <v>85</v>
      </c>
      <c r="L13" s="42">
        <f>IFERROR(SUMIFS(D_D[BL],D_D[MT],2,D_D[CAT],TA_23,D_D[EP],-1, D_D[LOC],$A13),0)</f>
        <v>67</v>
      </c>
      <c r="M13" s="48">
        <f t="shared" si="10"/>
        <v>0.78823529411764703</v>
      </c>
      <c r="N13" s="41">
        <f>IFERROR(SUMIFS(D_D[INV],D_D[MT],2,D_D[CAT],TA_24,D_D[EP],-1, D_D[LOC],$A13),0)</f>
        <v>931</v>
      </c>
      <c r="O13" s="42">
        <f>IFERROR(SUMIFS(D_D[BL],D_D[MT],2,D_D[CAT],TA_24,D_D[EP],-1, D_D[LOC],$A13),0)</f>
        <v>567</v>
      </c>
      <c r="P13" s="48">
        <f t="shared" si="11"/>
        <v>0.60902255639097747</v>
      </c>
      <c r="Q13" s="40">
        <f>IFERROR(SUMIFS(D_D[INV],D_D[MT],2,D_D[CAT],TA_25,D_D[EP],-1, D_D[LOC],$A13),0)</f>
        <v>1</v>
      </c>
      <c r="R13" s="40">
        <f>IFERROR(SUMIFS(D_D[INV],D_D[MT],2,D_D[CAT],TA_26,D_D[EP],-1, D_D[LOC],$A13),0)</f>
        <v>101</v>
      </c>
      <c r="S13" s="40">
        <f>IFERROR(SUMIFS(D_D[INV],D_D[MT],7,D_D[CAT],2,D_D[EP],TA_20, D_D[LOC],$A13),0)</f>
        <v>9507</v>
      </c>
      <c r="T13" s="7"/>
    </row>
    <row r="14" spans="1:20" x14ac:dyDescent="0.2">
      <c r="A14" s="24" t="s">
        <v>129</v>
      </c>
      <c r="B14" s="97" t="s">
        <v>35</v>
      </c>
      <c r="C14" s="43">
        <f>IFERROR(SUMIFS(D_D[INV],D_D[MT],1,D_D[CAT],TA_20,D_D[EP],-1, D_D[LOC],$A14),0)</f>
        <v>1646</v>
      </c>
      <c r="D14" s="39">
        <f>IFERROR(SUMIFS(D_D[ADP],D_D[MT],1,D_D[CAT],D$1,D_D[EP],-1, D_D[LOC],$A14),0)</f>
        <v>127.92</v>
      </c>
      <c r="E14" s="37">
        <f>IFERROR(SUMIFS(D_D[INV],D_D[MT],2,D_D[CAT],TA_21,D_D[EP],-1, D_D[LOC],$A14),0)</f>
        <v>6312</v>
      </c>
      <c r="F14" s="36">
        <f>IFERROR(SUMIFS(D_D[BL],D_D[MT],2,D_D[CAT],TA_21,D_D[EP],-1, D_D[LOC],$A14),0)</f>
        <v>1502</v>
      </c>
      <c r="G14" s="48">
        <f t="shared" si="8"/>
        <v>0.2379594423320659</v>
      </c>
      <c r="H14" s="35">
        <f>IFERROR(SUMIFS(D_D[INV],D_D[MT],2,D_D[CAT],TA_22,D_D[EP],-1, D_D[LOC],$A14),0)</f>
        <v>4575</v>
      </c>
      <c r="I14" s="36">
        <f>IFERROR(SUMIFS(D_D[BL],D_D[MT],2,D_D[CAT],TA_22,D_D[EP],-1, D_D[LOC],$A14),0)</f>
        <v>1128</v>
      </c>
      <c r="J14" s="48">
        <f t="shared" si="9"/>
        <v>0.24655737704918032</v>
      </c>
      <c r="K14" s="41">
        <f>IFERROR(SUMIFS(D_D[INV],D_D[MT],2,D_D[CAT],TA_23,D_D[EP],-1, D_D[LOC],$A14),0)</f>
        <v>137</v>
      </c>
      <c r="L14" s="42">
        <f>IFERROR(SUMIFS(D_D[BL],D_D[MT],2,D_D[CAT],TA_23,D_D[EP],-1, D_D[LOC],$A14),0)</f>
        <v>53</v>
      </c>
      <c r="M14" s="48">
        <f t="shared" si="10"/>
        <v>0.38686131386861317</v>
      </c>
      <c r="N14" s="41">
        <f>IFERROR(SUMIFS(D_D[INV],D_D[MT],2,D_D[CAT],TA_24,D_D[EP],-1, D_D[LOC],$A14),0)</f>
        <v>585</v>
      </c>
      <c r="O14" s="42">
        <f>IFERROR(SUMIFS(D_D[BL],D_D[MT],2,D_D[CAT],TA_24,D_D[EP],-1, D_D[LOC],$A14),0)</f>
        <v>351</v>
      </c>
      <c r="P14" s="48">
        <f t="shared" si="11"/>
        <v>0.6</v>
      </c>
      <c r="Q14" s="40">
        <f>IFERROR(SUMIFS(D_D[INV],D_D[MT],2,D_D[CAT],TA_25,D_D[EP],-1, D_D[LOC],$A14),0)</f>
        <v>4</v>
      </c>
      <c r="R14" s="40">
        <f>IFERROR(SUMIFS(D_D[INV],D_D[MT],2,D_D[CAT],TA_26,D_D[EP],-1, D_D[LOC],$A14),0)</f>
        <v>44</v>
      </c>
      <c r="S14" s="40">
        <f>IFERROR(SUMIFS(D_D[INV],D_D[MT],7,D_D[CAT],2,D_D[EP],TA_20, D_D[LOC],$A14),0)</f>
        <v>6221</v>
      </c>
      <c r="T14" s="7"/>
    </row>
    <row r="15" spans="1:20" x14ac:dyDescent="0.2">
      <c r="A15" s="24" t="s">
        <v>113</v>
      </c>
      <c r="B15" s="97" t="s">
        <v>37</v>
      </c>
      <c r="C15" s="43">
        <f>IFERROR(SUMIFS(D_D[INV],D_D[MT],1,D_D[CAT],TA_20,D_D[EP],-1, D_D[LOC],$A15),0)</f>
        <v>112</v>
      </c>
      <c r="D15" s="39">
        <f>IFERROR(SUMIFS(D_D[ADP],D_D[MT],1,D_D[CAT],D$1,D_D[EP],-1, D_D[LOC],$A15),0)</f>
        <v>142.22</v>
      </c>
      <c r="E15" s="37">
        <f>IFERROR(SUMIFS(D_D[INV],D_D[MT],2,D_D[CAT],TA_21,D_D[EP],-1, D_D[LOC],$A15),0)</f>
        <v>923</v>
      </c>
      <c r="F15" s="36">
        <f>IFERROR(SUMIFS(D_D[BL],D_D[MT],2,D_D[CAT],TA_21,D_D[EP],-1, D_D[LOC],$A15),0)</f>
        <v>165</v>
      </c>
      <c r="G15" s="48">
        <f t="shared" si="8"/>
        <v>0.17876489707475623</v>
      </c>
      <c r="H15" s="35">
        <f>IFERROR(SUMIFS(D_D[INV],D_D[MT],2,D_D[CAT],TA_22,D_D[EP],-1, D_D[LOC],$A15),0)</f>
        <v>1024</v>
      </c>
      <c r="I15" s="36">
        <f>IFERROR(SUMIFS(D_D[BL],D_D[MT],2,D_D[CAT],TA_22,D_D[EP],-1, D_D[LOC],$A15),0)</f>
        <v>603</v>
      </c>
      <c r="J15" s="48">
        <f t="shared" si="9"/>
        <v>0.5888671875</v>
      </c>
      <c r="K15" s="41">
        <f>IFERROR(SUMIFS(D_D[INV],D_D[MT],2,D_D[CAT],TA_23,D_D[EP],-1, D_D[LOC],$A15),0)</f>
        <v>24</v>
      </c>
      <c r="L15" s="42">
        <f>IFERROR(SUMIFS(D_D[BL],D_D[MT],2,D_D[CAT],TA_23,D_D[EP],-1, D_D[LOC],$A15),0)</f>
        <v>10</v>
      </c>
      <c r="M15" s="48">
        <f t="shared" si="10"/>
        <v>0.41666666666666669</v>
      </c>
      <c r="N15" s="41">
        <f>IFERROR(SUMIFS(D_D[INV],D_D[MT],2,D_D[CAT],TA_24,D_D[EP],-1, D_D[LOC],$A15),0)</f>
        <v>214</v>
      </c>
      <c r="O15" s="42">
        <f>IFERROR(SUMIFS(D_D[BL],D_D[MT],2,D_D[CAT],TA_24,D_D[EP],-1, D_D[LOC],$A15),0)</f>
        <v>141</v>
      </c>
      <c r="P15" s="48">
        <f t="shared" si="11"/>
        <v>0.65887850467289721</v>
      </c>
      <c r="Q15" s="40">
        <f>IFERROR(SUMIFS(D_D[INV],D_D[MT],2,D_D[CAT],TA_25,D_D[EP],-1, D_D[LOC],$A15),0)</f>
        <v>0</v>
      </c>
      <c r="R15" s="40">
        <f>IFERROR(SUMIFS(D_D[INV],D_D[MT],2,D_D[CAT],TA_26,D_D[EP],-1, D_D[LOC],$A15),0)</f>
        <v>3</v>
      </c>
      <c r="S15" s="40">
        <f>IFERROR(SUMIFS(D_D[INV],D_D[MT],7,D_D[CAT],2,D_D[EP],TA_20, D_D[LOC],$A15),0)</f>
        <v>1829</v>
      </c>
      <c r="T15" s="7"/>
    </row>
    <row r="16" spans="1:20" x14ac:dyDescent="0.2">
      <c r="A16" s="24" t="s">
        <v>126</v>
      </c>
      <c r="B16" s="97" t="s">
        <v>41</v>
      </c>
      <c r="C16" s="43">
        <f>IFERROR(SUMIFS(D_D[INV],D_D[MT],1,D_D[CAT],TA_20,D_D[EP],-1, D_D[LOC],$A16),0)</f>
        <v>3085</v>
      </c>
      <c r="D16" s="39">
        <f>IFERROR(SUMIFS(D_D[ADP],D_D[MT],1,D_D[CAT],D$1,D_D[EP],-1, D_D[LOC],$A16),0)</f>
        <v>182.14</v>
      </c>
      <c r="E16" s="37">
        <f>IFERROR(SUMIFS(D_D[INV],D_D[MT],2,D_D[CAT],TA_21,D_D[EP],-1, D_D[LOC],$A16),0)</f>
        <v>5495</v>
      </c>
      <c r="F16" s="36">
        <f>IFERROR(SUMIFS(D_D[BL],D_D[MT],2,D_D[CAT],TA_21,D_D[EP],-1, D_D[LOC],$A16),0)</f>
        <v>1250</v>
      </c>
      <c r="G16" s="48">
        <f t="shared" si="8"/>
        <v>0.22747952684258416</v>
      </c>
      <c r="H16" s="35">
        <f>IFERROR(SUMIFS(D_D[INV],D_D[MT],2,D_D[CAT],TA_22,D_D[EP],-1, D_D[LOC],$A16),0)</f>
        <v>4248</v>
      </c>
      <c r="I16" s="36">
        <f>IFERROR(SUMIFS(D_D[BL],D_D[MT],2,D_D[CAT],TA_22,D_D[EP],-1, D_D[LOC],$A16),0)</f>
        <v>1651</v>
      </c>
      <c r="J16" s="48">
        <f t="shared" si="9"/>
        <v>0.38865348399246702</v>
      </c>
      <c r="K16" s="41">
        <f>IFERROR(SUMIFS(D_D[INV],D_D[MT],2,D_D[CAT],TA_23,D_D[EP],-1, D_D[LOC],$A16),0)</f>
        <v>248</v>
      </c>
      <c r="L16" s="42">
        <f>IFERROR(SUMIFS(D_D[BL],D_D[MT],2,D_D[CAT],TA_23,D_D[EP],-1, D_D[LOC],$A16),0)</f>
        <v>236</v>
      </c>
      <c r="M16" s="48">
        <f t="shared" si="10"/>
        <v>0.95161290322580649</v>
      </c>
      <c r="N16" s="41">
        <f>IFERROR(SUMIFS(D_D[INV],D_D[MT],2,D_D[CAT],TA_24,D_D[EP],-1, D_D[LOC],$A16),0)</f>
        <v>1063</v>
      </c>
      <c r="O16" s="42">
        <f>IFERROR(SUMIFS(D_D[BL],D_D[MT],2,D_D[CAT],TA_24,D_D[EP],-1, D_D[LOC],$A16),0)</f>
        <v>333</v>
      </c>
      <c r="P16" s="48">
        <f t="shared" si="11"/>
        <v>0.31326434619002824</v>
      </c>
      <c r="Q16" s="40">
        <f>IFERROR(SUMIFS(D_D[INV],D_D[MT],2,D_D[CAT],TA_25,D_D[EP],-1, D_D[LOC],$A16),0)</f>
        <v>0</v>
      </c>
      <c r="R16" s="40">
        <f>IFERROR(SUMIFS(D_D[INV],D_D[MT],2,D_D[CAT],TA_26,D_D[EP],-1, D_D[LOC],$A16),0)</f>
        <v>144</v>
      </c>
      <c r="S16" s="40">
        <f>IFERROR(SUMIFS(D_D[INV],D_D[MT],7,D_D[CAT],2,D_D[EP],TA_20, D_D[LOC],$A16),0)</f>
        <v>4962</v>
      </c>
      <c r="T16" s="7"/>
    </row>
    <row r="17" spans="1:20" x14ac:dyDescent="0.2">
      <c r="A17" s="24" t="s">
        <v>151</v>
      </c>
      <c r="B17" s="97" t="s">
        <v>47</v>
      </c>
      <c r="C17" s="43">
        <f>IFERROR(SUMIFS(D_D[INV],D_D[MT],1,D_D[CAT],TA_20,D_D[EP],-1, D_D[LOC],$A17),0)</f>
        <v>84</v>
      </c>
      <c r="D17" s="39">
        <f>IFERROR(SUMIFS(D_D[ADP],D_D[MT],1,D_D[CAT],D$1,D_D[EP],-1, D_D[LOC],$A17),0)</f>
        <v>171.23</v>
      </c>
      <c r="E17" s="37">
        <f>IFERROR(SUMIFS(D_D[INV],D_D[MT],2,D_D[CAT],TA_21,D_D[EP],-1, D_D[LOC],$A17),0)</f>
        <v>686</v>
      </c>
      <c r="F17" s="36">
        <f>IFERROR(SUMIFS(D_D[BL],D_D[MT],2,D_D[CAT],TA_21,D_D[EP],-1, D_D[LOC],$A17),0)</f>
        <v>249</v>
      </c>
      <c r="G17" s="48">
        <f t="shared" si="8"/>
        <v>0.36297376093294459</v>
      </c>
      <c r="H17" s="35">
        <f>IFERROR(SUMIFS(D_D[INV],D_D[MT],2,D_D[CAT],TA_22,D_D[EP],-1, D_D[LOC],$A17),0)</f>
        <v>517</v>
      </c>
      <c r="I17" s="36">
        <f>IFERROR(SUMIFS(D_D[BL],D_D[MT],2,D_D[CAT],TA_22,D_D[EP],-1, D_D[LOC],$A17),0)</f>
        <v>299</v>
      </c>
      <c r="J17" s="48">
        <f t="shared" si="9"/>
        <v>0.57833655705996134</v>
      </c>
      <c r="K17" s="41">
        <f>IFERROR(SUMIFS(D_D[INV],D_D[MT],2,D_D[CAT],TA_23,D_D[EP],-1, D_D[LOC],$A17),0)</f>
        <v>4</v>
      </c>
      <c r="L17" s="42">
        <f>IFERROR(SUMIFS(D_D[BL],D_D[MT],2,D_D[CAT],TA_23,D_D[EP],-1, D_D[LOC],$A17),0)</f>
        <v>0</v>
      </c>
      <c r="M17" s="48">
        <f t="shared" si="10"/>
        <v>0</v>
      </c>
      <c r="N17" s="41">
        <f>IFERROR(SUMIFS(D_D[INV],D_D[MT],2,D_D[CAT],TA_24,D_D[EP],-1, D_D[LOC],$A17),0)</f>
        <v>76</v>
      </c>
      <c r="O17" s="42">
        <f>IFERROR(SUMIFS(D_D[BL],D_D[MT],2,D_D[CAT],TA_24,D_D[EP],-1, D_D[LOC],$A17),0)</f>
        <v>44</v>
      </c>
      <c r="P17" s="48">
        <f t="shared" si="11"/>
        <v>0.57894736842105265</v>
      </c>
      <c r="Q17" s="40">
        <f>IFERROR(SUMIFS(D_D[INV],D_D[MT],2,D_D[CAT],TA_25,D_D[EP],-1, D_D[LOC],$A17),0)</f>
        <v>1</v>
      </c>
      <c r="R17" s="40">
        <f>IFERROR(SUMIFS(D_D[INV],D_D[MT],2,D_D[CAT],TA_26,D_D[EP],-1, D_D[LOC],$A17),0)</f>
        <v>2</v>
      </c>
      <c r="S17" s="40">
        <f>IFERROR(SUMIFS(D_D[INV],D_D[MT],7,D_D[CAT],2,D_D[EP],TA_20, D_D[LOC],$A17),0)</f>
        <v>1127</v>
      </c>
      <c r="T17" s="7"/>
    </row>
    <row r="18" spans="1:20" x14ac:dyDescent="0.2">
      <c r="A18" s="24" t="s">
        <v>130</v>
      </c>
      <c r="B18" s="97" t="s">
        <v>49</v>
      </c>
      <c r="C18" s="43">
        <f>IFERROR(SUMIFS(D_D[INV],D_D[MT],1,D_D[CAT],TA_20,D_D[EP],-1, D_D[LOC],$A18),0)</f>
        <v>6297</v>
      </c>
      <c r="D18" s="39">
        <f>IFERROR(SUMIFS(D_D[ADP],D_D[MT],1,D_D[CAT],D$1,D_D[EP],-1, D_D[LOC],$A18),0)</f>
        <v>81.11</v>
      </c>
      <c r="E18" s="37">
        <f>IFERROR(SUMIFS(D_D[INV],D_D[MT],2,D_D[CAT],TA_21,D_D[EP],-1, D_D[LOC],$A18),0)</f>
        <v>12950</v>
      </c>
      <c r="F18" s="36">
        <f>IFERROR(SUMIFS(D_D[BL],D_D[MT],2,D_D[CAT],TA_21,D_D[EP],-1, D_D[LOC],$A18),0)</f>
        <v>2644</v>
      </c>
      <c r="G18" s="48">
        <f t="shared" si="8"/>
        <v>0.20416988416988416</v>
      </c>
      <c r="H18" s="35">
        <f>IFERROR(SUMIFS(D_D[INV],D_D[MT],2,D_D[CAT],TA_22,D_D[EP],-1, D_D[LOC],$A18),0)</f>
        <v>20579</v>
      </c>
      <c r="I18" s="36">
        <f>IFERROR(SUMIFS(D_D[BL],D_D[MT],2,D_D[CAT],TA_22,D_D[EP],-1, D_D[LOC],$A18),0)</f>
        <v>3372</v>
      </c>
      <c r="J18" s="48">
        <f t="shared" si="9"/>
        <v>0.16385635842363575</v>
      </c>
      <c r="K18" s="41">
        <f>IFERROR(SUMIFS(D_D[INV],D_D[MT],2,D_D[CAT],TA_23,D_D[EP],-1, D_D[LOC],$A18),0)</f>
        <v>80</v>
      </c>
      <c r="L18" s="42">
        <f>IFERROR(SUMIFS(D_D[BL],D_D[MT],2,D_D[CAT],TA_23,D_D[EP],-1, D_D[LOC],$A18),0)</f>
        <v>30</v>
      </c>
      <c r="M18" s="48">
        <f t="shared" si="10"/>
        <v>0.375</v>
      </c>
      <c r="N18" s="41">
        <f>IFERROR(SUMIFS(D_D[INV],D_D[MT],2,D_D[CAT],TA_24,D_D[EP],-1, D_D[LOC],$A18),0)</f>
        <v>1253</v>
      </c>
      <c r="O18" s="42">
        <f>IFERROR(SUMIFS(D_D[BL],D_D[MT],2,D_D[CAT],TA_24,D_D[EP],-1, D_D[LOC],$A18),0)</f>
        <v>732</v>
      </c>
      <c r="P18" s="48">
        <f t="shared" si="11"/>
        <v>0.58419792498004786</v>
      </c>
      <c r="Q18" s="40">
        <f>IFERROR(SUMIFS(D_D[INV],D_D[MT],2,D_D[CAT],TA_25,D_D[EP],-1, D_D[LOC],$A18),0)</f>
        <v>5452</v>
      </c>
      <c r="R18" s="40">
        <f>IFERROR(SUMIFS(D_D[INV],D_D[MT],2,D_D[CAT],TA_26,D_D[EP],-1, D_D[LOC],$A18),0)</f>
        <v>0</v>
      </c>
      <c r="S18" s="40">
        <f>IFERROR(SUMIFS(D_D[INV],D_D[MT],7,D_D[CAT],2,D_D[EP],TA_20, D_D[LOC],$A18),0)</f>
        <v>2871</v>
      </c>
      <c r="T18" s="7"/>
    </row>
    <row r="19" spans="1:20" x14ac:dyDescent="0.2">
      <c r="A19" s="24" t="s">
        <v>111</v>
      </c>
      <c r="B19" s="97" t="s">
        <v>53</v>
      </c>
      <c r="C19" s="43">
        <f>IFERROR(SUMIFS(D_D[INV],D_D[MT],1,D_D[CAT],TA_20,D_D[EP],-1, D_D[LOC],$A19),0)</f>
        <v>402</v>
      </c>
      <c r="D19" s="39">
        <f>IFERROR(SUMIFS(D_D[ADP],D_D[MT],1,D_D[CAT],D$1,D_D[EP],-1, D_D[LOC],$A19),0)</f>
        <v>124.11</v>
      </c>
      <c r="E19" s="37">
        <f>IFERROR(SUMIFS(D_D[INV],D_D[MT],2,D_D[CAT],TA_21,D_D[EP],-1, D_D[LOC],$A19),0)</f>
        <v>3364</v>
      </c>
      <c r="F19" s="36">
        <f>IFERROR(SUMIFS(D_D[BL],D_D[MT],2,D_D[CAT],TA_21,D_D[EP],-1, D_D[LOC],$A19),0)</f>
        <v>1093</v>
      </c>
      <c r="G19" s="48">
        <f t="shared" si="8"/>
        <v>0.32491082045184305</v>
      </c>
      <c r="H19" s="35">
        <f>IFERROR(SUMIFS(D_D[INV],D_D[MT],2,D_D[CAT],TA_22,D_D[EP],-1, D_D[LOC],$A19),0)</f>
        <v>1233</v>
      </c>
      <c r="I19" s="36">
        <f>IFERROR(SUMIFS(D_D[BL],D_D[MT],2,D_D[CAT],TA_22,D_D[EP],-1, D_D[LOC],$A19),0)</f>
        <v>554</v>
      </c>
      <c r="J19" s="48">
        <f t="shared" si="9"/>
        <v>0.44931062449310627</v>
      </c>
      <c r="K19" s="41">
        <f>IFERROR(SUMIFS(D_D[INV],D_D[MT],2,D_D[CAT],TA_23,D_D[EP],-1, D_D[LOC],$A19),0)</f>
        <v>7</v>
      </c>
      <c r="L19" s="42">
        <f>IFERROR(SUMIFS(D_D[BL],D_D[MT],2,D_D[CAT],TA_23,D_D[EP],-1, D_D[LOC],$A19),0)</f>
        <v>6</v>
      </c>
      <c r="M19" s="48">
        <f t="shared" si="10"/>
        <v>0.8571428571428571</v>
      </c>
      <c r="N19" s="41">
        <f>IFERROR(SUMIFS(D_D[INV],D_D[MT],2,D_D[CAT],TA_24,D_D[EP],-1, D_D[LOC],$A19),0)</f>
        <v>463</v>
      </c>
      <c r="O19" s="42">
        <f>IFERROR(SUMIFS(D_D[BL],D_D[MT],2,D_D[CAT],TA_24,D_D[EP],-1, D_D[LOC],$A19),0)</f>
        <v>209</v>
      </c>
      <c r="P19" s="48">
        <f t="shared" si="11"/>
        <v>0.45140388768898487</v>
      </c>
      <c r="Q19" s="40">
        <f>IFERROR(SUMIFS(D_D[INV],D_D[MT],2,D_D[CAT],TA_25,D_D[EP],-1, D_D[LOC],$A19),0)</f>
        <v>2</v>
      </c>
      <c r="R19" s="40">
        <f>IFERROR(SUMIFS(D_D[INV],D_D[MT],2,D_D[CAT],TA_26,D_D[EP],-1, D_D[LOC],$A19),0)</f>
        <v>6</v>
      </c>
      <c r="S19" s="40">
        <f>IFERROR(SUMIFS(D_D[INV],D_D[MT],7,D_D[CAT],2,D_D[EP],TA_20, D_D[LOC],$A19),0)</f>
        <v>4615</v>
      </c>
      <c r="T19" s="7"/>
    </row>
    <row r="20" spans="1:20" x14ac:dyDescent="0.2">
      <c r="A20" s="24" t="s">
        <v>114</v>
      </c>
      <c r="B20" s="97" t="s">
        <v>54</v>
      </c>
      <c r="C20" s="43">
        <f>IFERROR(SUMIFS(D_D[INV],D_D[MT],1,D_D[CAT],TA_20,D_D[EP],-1, D_D[LOC],$A20),0)</f>
        <v>195</v>
      </c>
      <c r="D20" s="39">
        <f>IFERROR(SUMIFS(D_D[ADP],D_D[MT],1,D_D[CAT],D$1,D_D[EP],-1, D_D[LOC],$A20),0)</f>
        <v>82.95</v>
      </c>
      <c r="E20" s="37">
        <f>IFERROR(SUMIFS(D_D[INV],D_D[MT],2,D_D[CAT],TA_21,D_D[EP],-1, D_D[LOC],$A20),0)</f>
        <v>2319</v>
      </c>
      <c r="F20" s="36">
        <f>IFERROR(SUMIFS(D_D[BL],D_D[MT],2,D_D[CAT],TA_21,D_D[EP],-1, D_D[LOC],$A20),0)</f>
        <v>618</v>
      </c>
      <c r="G20" s="48">
        <f t="shared" si="8"/>
        <v>0.26649417852522639</v>
      </c>
      <c r="H20" s="35">
        <f>IFERROR(SUMIFS(D_D[INV],D_D[MT],2,D_D[CAT],TA_22,D_D[EP],-1, D_D[LOC],$A20),0)</f>
        <v>686</v>
      </c>
      <c r="I20" s="36">
        <f>IFERROR(SUMIFS(D_D[BL],D_D[MT],2,D_D[CAT],TA_22,D_D[EP],-1, D_D[LOC],$A20),0)</f>
        <v>303</v>
      </c>
      <c r="J20" s="48">
        <f t="shared" si="9"/>
        <v>0.44169096209912534</v>
      </c>
      <c r="K20" s="41">
        <f>IFERROR(SUMIFS(D_D[INV],D_D[MT],2,D_D[CAT],TA_23,D_D[EP],-1, D_D[LOC],$A20),0)</f>
        <v>11</v>
      </c>
      <c r="L20" s="42">
        <f>IFERROR(SUMIFS(D_D[BL],D_D[MT],2,D_D[CAT],TA_23,D_D[EP],-1, D_D[LOC],$A20),0)</f>
        <v>9</v>
      </c>
      <c r="M20" s="48">
        <f t="shared" si="10"/>
        <v>0.81818181818181823</v>
      </c>
      <c r="N20" s="41">
        <f>IFERROR(SUMIFS(D_D[INV],D_D[MT],2,D_D[CAT],TA_24,D_D[EP],-1, D_D[LOC],$A20),0)</f>
        <v>169</v>
      </c>
      <c r="O20" s="42">
        <f>IFERROR(SUMIFS(D_D[BL],D_D[MT],2,D_D[CAT],TA_24,D_D[EP],-1, D_D[LOC],$A20),0)</f>
        <v>125</v>
      </c>
      <c r="P20" s="48">
        <f t="shared" si="11"/>
        <v>0.73964497041420119</v>
      </c>
      <c r="Q20" s="40">
        <f>IFERROR(SUMIFS(D_D[INV],D_D[MT],2,D_D[CAT],TA_25,D_D[EP],-1, D_D[LOC],$A20),0)</f>
        <v>0</v>
      </c>
      <c r="R20" s="40">
        <f>IFERROR(SUMIFS(D_D[INV],D_D[MT],2,D_D[CAT],TA_26,D_D[EP],-1, D_D[LOC],$A20),0)</f>
        <v>10</v>
      </c>
      <c r="S20" s="40">
        <f>IFERROR(SUMIFS(D_D[INV],D_D[MT],7,D_D[CAT],2,D_D[EP],TA_20, D_D[LOC],$A20),0)</f>
        <v>3341</v>
      </c>
      <c r="T20" s="7"/>
    </row>
    <row r="21" spans="1:20" x14ac:dyDescent="0.2">
      <c r="A21" s="24" t="s">
        <v>86</v>
      </c>
      <c r="B21" s="97" t="s">
        <v>56</v>
      </c>
      <c r="C21" s="43">
        <f>IFERROR(SUMIFS(D_D[INV],D_D[MT],1,D_D[CAT],TA_20,D_D[EP],-1, D_D[LOC],$A21),0)</f>
        <v>5725</v>
      </c>
      <c r="D21" s="39">
        <f>IFERROR(SUMIFS(D_D[ADP],D_D[MT],1,D_D[CAT],D$1,D_D[EP],-1, D_D[LOC],$A21),0)</f>
        <v>89.26</v>
      </c>
      <c r="E21" s="37">
        <f>IFERROR(SUMIFS(D_D[INV],D_D[MT],2,D_D[CAT],TA_21,D_D[EP],-1, D_D[LOC],$A21),0)</f>
        <v>10424</v>
      </c>
      <c r="F21" s="36">
        <f>IFERROR(SUMIFS(D_D[BL],D_D[MT],2,D_D[CAT],TA_21,D_D[EP],-1, D_D[LOC],$A21),0)</f>
        <v>3389</v>
      </c>
      <c r="G21" s="48">
        <f t="shared" si="8"/>
        <v>0.32511511895625478</v>
      </c>
      <c r="H21" s="35">
        <f>IFERROR(SUMIFS(D_D[INV],D_D[MT],2,D_D[CAT],TA_22,D_D[EP],-1, D_D[LOC],$A21),0)</f>
        <v>17351</v>
      </c>
      <c r="I21" s="36">
        <f>IFERROR(SUMIFS(D_D[BL],D_D[MT],2,D_D[CAT],TA_22,D_D[EP],-1, D_D[LOC],$A21),0)</f>
        <v>3069</v>
      </c>
      <c r="J21" s="48">
        <f t="shared" si="9"/>
        <v>0.1768774134055674</v>
      </c>
      <c r="K21" s="41">
        <f>IFERROR(SUMIFS(D_D[INV],D_D[MT],2,D_D[CAT],TA_23,D_D[EP],-1, D_D[LOC],$A21),0)</f>
        <v>38</v>
      </c>
      <c r="L21" s="42">
        <f>IFERROR(SUMIFS(D_D[BL],D_D[MT],2,D_D[CAT],TA_23,D_D[EP],-1, D_D[LOC],$A21),0)</f>
        <v>22</v>
      </c>
      <c r="M21" s="48">
        <f t="shared" si="10"/>
        <v>0.57894736842105265</v>
      </c>
      <c r="N21" s="41">
        <f>IFERROR(SUMIFS(D_D[INV],D_D[MT],2,D_D[CAT],TA_24,D_D[EP],-1, D_D[LOC],$A21),0)</f>
        <v>1460</v>
      </c>
      <c r="O21" s="42">
        <f>IFERROR(SUMIFS(D_D[BL],D_D[MT],2,D_D[CAT],TA_24,D_D[EP],-1, D_D[LOC],$A21),0)</f>
        <v>991</v>
      </c>
      <c r="P21" s="48">
        <f t="shared" si="11"/>
        <v>0.67876712328767119</v>
      </c>
      <c r="Q21" s="40">
        <f>IFERROR(SUMIFS(D_D[INV],D_D[MT],2,D_D[CAT],TA_25,D_D[EP],-1, D_D[LOC],$A21),0)</f>
        <v>8425</v>
      </c>
      <c r="R21" s="40">
        <f>IFERROR(SUMIFS(D_D[INV],D_D[MT],2,D_D[CAT],TA_26,D_D[EP],-1, D_D[LOC],$A21),0)</f>
        <v>0</v>
      </c>
      <c r="S21" s="40">
        <f>IFERROR(SUMIFS(D_D[INV],D_D[MT],7,D_D[CAT],2,D_D[EP],TA_20, D_D[LOC],$A21),0)</f>
        <v>6160</v>
      </c>
      <c r="T21" s="7"/>
    </row>
    <row r="22" spans="1:20" x14ac:dyDescent="0.2">
      <c r="A22" s="24" t="s">
        <v>115</v>
      </c>
      <c r="B22" s="97" t="s">
        <v>58</v>
      </c>
      <c r="C22" s="43">
        <f>IFERROR(SUMIFS(D_D[INV],D_D[MT],1,D_D[CAT],TA_20,D_D[EP],-1, D_D[LOC],$A22),0)</f>
        <v>725</v>
      </c>
      <c r="D22" s="39">
        <f>IFERROR(SUMIFS(D_D[ADP],D_D[MT],1,D_D[CAT],D$1,D_D[EP],-1, D_D[LOC],$A22),0)</f>
        <v>117.09</v>
      </c>
      <c r="E22" s="37">
        <f>IFERROR(SUMIFS(D_D[INV],D_D[MT],2,D_D[CAT],TA_21,D_D[EP],-1, D_D[LOC],$A22),0)</f>
        <v>4768</v>
      </c>
      <c r="F22" s="36">
        <f>IFERROR(SUMIFS(D_D[BL],D_D[MT],2,D_D[CAT],TA_21,D_D[EP],-1, D_D[LOC],$A22),0)</f>
        <v>1202</v>
      </c>
      <c r="G22" s="48">
        <f t="shared" si="8"/>
        <v>0.25209731543624159</v>
      </c>
      <c r="H22" s="35">
        <f>IFERROR(SUMIFS(D_D[INV],D_D[MT],2,D_D[CAT],TA_22,D_D[EP],-1, D_D[LOC],$A22),0)</f>
        <v>1621</v>
      </c>
      <c r="I22" s="36">
        <f>IFERROR(SUMIFS(D_D[BL],D_D[MT],2,D_D[CAT],TA_22,D_D[EP],-1, D_D[LOC],$A22),0)</f>
        <v>532</v>
      </c>
      <c r="J22" s="48">
        <f t="shared" si="9"/>
        <v>0.32819247378161631</v>
      </c>
      <c r="K22" s="41">
        <f>IFERROR(SUMIFS(D_D[INV],D_D[MT],2,D_D[CAT],TA_23,D_D[EP],-1, D_D[LOC],$A22),0)</f>
        <v>65</v>
      </c>
      <c r="L22" s="42">
        <f>IFERROR(SUMIFS(D_D[BL],D_D[MT],2,D_D[CAT],TA_23,D_D[EP],-1, D_D[LOC],$A22),0)</f>
        <v>31</v>
      </c>
      <c r="M22" s="48">
        <f t="shared" si="10"/>
        <v>0.47692307692307695</v>
      </c>
      <c r="N22" s="41">
        <f>IFERROR(SUMIFS(D_D[INV],D_D[MT],2,D_D[CAT],TA_24,D_D[EP],-1, D_D[LOC],$A22),0)</f>
        <v>321</v>
      </c>
      <c r="O22" s="42">
        <f>IFERROR(SUMIFS(D_D[BL],D_D[MT],2,D_D[CAT],TA_24,D_D[EP],-1, D_D[LOC],$A22),0)</f>
        <v>166</v>
      </c>
      <c r="P22" s="48">
        <f t="shared" si="11"/>
        <v>0.51713395638629278</v>
      </c>
      <c r="Q22" s="40">
        <f>IFERROR(SUMIFS(D_D[INV],D_D[MT],2,D_D[CAT],TA_25,D_D[EP],-1, D_D[LOC],$A22),0)</f>
        <v>0</v>
      </c>
      <c r="R22" s="40">
        <f>IFERROR(SUMIFS(D_D[INV],D_D[MT],2,D_D[CAT],TA_26,D_D[EP],-1, D_D[LOC],$A22),0)</f>
        <v>3</v>
      </c>
      <c r="S22" s="40">
        <f>IFERROR(SUMIFS(D_D[INV],D_D[MT],7,D_D[CAT],2,D_D[EP],TA_20, D_D[LOC],$A22),0)</f>
        <v>4084</v>
      </c>
      <c r="T22" s="7"/>
    </row>
    <row r="23" spans="1:20" x14ac:dyDescent="0.2">
      <c r="A23" s="24" t="s">
        <v>110</v>
      </c>
      <c r="B23" s="97" t="s">
        <v>60</v>
      </c>
      <c r="C23" s="43">
        <f>IFERROR(SUMIFS(D_D[INV],D_D[MT],1,D_D[CAT],TA_20,D_D[EP],-1, D_D[LOC],$A23),0)</f>
        <v>869</v>
      </c>
      <c r="D23" s="39">
        <f>IFERROR(SUMIFS(D_D[ADP],D_D[MT],1,D_D[CAT],D$1,D_D[EP],-1, D_D[LOC],$A23),0)</f>
        <v>118.83</v>
      </c>
      <c r="E23" s="37">
        <f>IFERROR(SUMIFS(D_D[INV],D_D[MT],2,D_D[CAT],TA_21,D_D[EP],-1, D_D[LOC],$A23),0)</f>
        <v>2046</v>
      </c>
      <c r="F23" s="36">
        <f>IFERROR(SUMIFS(D_D[BL],D_D[MT],2,D_D[CAT],TA_21,D_D[EP],-1, D_D[LOC],$A23),0)</f>
        <v>514</v>
      </c>
      <c r="G23" s="48">
        <f t="shared" si="8"/>
        <v>0.2512218963831867</v>
      </c>
      <c r="H23" s="35">
        <f>IFERROR(SUMIFS(D_D[INV],D_D[MT],2,D_D[CAT],TA_22,D_D[EP],-1, D_D[LOC],$A23),0)</f>
        <v>2948</v>
      </c>
      <c r="I23" s="36">
        <f>IFERROR(SUMIFS(D_D[BL],D_D[MT],2,D_D[CAT],TA_22,D_D[EP],-1, D_D[LOC],$A23),0)</f>
        <v>693</v>
      </c>
      <c r="J23" s="48">
        <f t="shared" si="9"/>
        <v>0.23507462686567165</v>
      </c>
      <c r="K23" s="41">
        <f>IFERROR(SUMIFS(D_D[INV],D_D[MT],2,D_D[CAT],TA_23,D_D[EP],-1, D_D[LOC],$A23),0)</f>
        <v>221</v>
      </c>
      <c r="L23" s="42">
        <f>IFERROR(SUMIFS(D_D[BL],D_D[MT],2,D_D[CAT],TA_23,D_D[EP],-1, D_D[LOC],$A23),0)</f>
        <v>176</v>
      </c>
      <c r="M23" s="48">
        <f t="shared" si="10"/>
        <v>0.7963800904977375</v>
      </c>
      <c r="N23" s="41">
        <f>IFERROR(SUMIFS(D_D[INV],D_D[MT],2,D_D[CAT],TA_24,D_D[EP],-1, D_D[LOC],$A23),0)</f>
        <v>416</v>
      </c>
      <c r="O23" s="42">
        <f>IFERROR(SUMIFS(D_D[BL],D_D[MT],2,D_D[CAT],TA_24,D_D[EP],-1, D_D[LOC],$A23),0)</f>
        <v>239</v>
      </c>
      <c r="P23" s="48">
        <f t="shared" si="11"/>
        <v>0.57451923076923073</v>
      </c>
      <c r="Q23" s="40">
        <f>IFERROR(SUMIFS(D_D[INV],D_D[MT],2,D_D[CAT],TA_25,D_D[EP],-1, D_D[LOC],$A23),0)</f>
        <v>0</v>
      </c>
      <c r="R23" s="40">
        <f>IFERROR(SUMIFS(D_D[INV],D_D[MT],2,D_D[CAT],TA_26,D_D[EP],-1, D_D[LOC],$A23),0)</f>
        <v>6</v>
      </c>
      <c r="S23" s="40">
        <f>IFERROR(SUMIFS(D_D[INV],D_D[MT],7,D_D[CAT],2,D_D[EP],TA_20, D_D[LOC],$A23),0)</f>
        <v>1996</v>
      </c>
      <c r="T23" s="7"/>
    </row>
    <row r="24" spans="1:20" x14ac:dyDescent="0.2">
      <c r="A24" s="24" t="s">
        <v>869</v>
      </c>
      <c r="B24" s="97" t="s">
        <v>871</v>
      </c>
      <c r="C24" s="43">
        <f>IFERROR(SUMIFS(D_D[INV],D_D[MT],1,D_D[CAT],TA_20,D_D[EP],-1, D_D[LOC],$A24),0)</f>
        <v>1</v>
      </c>
      <c r="D24" s="39">
        <f>IFERROR(SUMIFS(D_D[ADP],D_D[MT],1,D_D[CAT],D$1,D_D[EP],-1, D_D[LOC],$A24),0)</f>
        <v>243</v>
      </c>
      <c r="E24" s="37">
        <f>IFERROR(SUMIFS(D_D[INV],D_D[MT],2,D_D[CAT],TA_21,D_D[EP],-1, D_D[LOC],$A24),0)</f>
        <v>0</v>
      </c>
      <c r="F24" s="36">
        <f>IFERROR(SUMIFS(D_D[BL],D_D[MT],2,D_D[CAT],TA_21,D_D[EP],-1, D_D[LOC],$A24),0)</f>
        <v>0</v>
      </c>
      <c r="G24" s="48" t="str">
        <f t="shared" si="8"/>
        <v>0%</v>
      </c>
      <c r="H24" s="35">
        <f>IFERROR(SUMIFS(D_D[INV],D_D[MT],2,D_D[CAT],TA_22,D_D[EP],-1, D_D[LOC],$A24),0)</f>
        <v>2</v>
      </c>
      <c r="I24" s="36">
        <f>IFERROR(SUMIFS(D_D[BL],D_D[MT],2,D_D[CAT],TA_22,D_D[EP],-1, D_D[LOC],$A24),0)</f>
        <v>1</v>
      </c>
      <c r="J24" s="48">
        <f t="shared" si="9"/>
        <v>0.5</v>
      </c>
      <c r="K24" s="41">
        <f>IFERROR(SUMIFS(D_D[INV],D_D[MT],2,D_D[CAT],TA_23,D_D[EP],-1, D_D[LOC],$A24),0)</f>
        <v>0</v>
      </c>
      <c r="L24" s="42">
        <f>IFERROR(SUMIFS(D_D[BL],D_D[MT],2,D_D[CAT],TA_23,D_D[EP],-1, D_D[LOC],$A24),0)</f>
        <v>0</v>
      </c>
      <c r="M24" s="48" t="str">
        <f t="shared" si="10"/>
        <v>0%</v>
      </c>
      <c r="N24" s="41">
        <f>IFERROR(SUMIFS(D_D[INV],D_D[MT],2,D_D[CAT],TA_24,D_D[EP],-1, D_D[LOC],$A24),0)</f>
        <v>19086</v>
      </c>
      <c r="O24" s="42">
        <f>IFERROR(SUMIFS(D_D[BL],D_D[MT],2,D_D[CAT],TA_24,D_D[EP],-1, D_D[LOC],$A24),0)</f>
        <v>1440</v>
      </c>
      <c r="P24" s="48">
        <f t="shared" si="11"/>
        <v>7.5447972335743477E-2</v>
      </c>
      <c r="Q24" s="40">
        <f>IFERROR(SUMIFS(D_D[INV],D_D[MT],2,D_D[CAT],TA_25,D_D[EP],-1, D_D[LOC],$A24),0)</f>
        <v>0</v>
      </c>
      <c r="R24" s="40">
        <f>IFERROR(SUMIFS(D_D[INV],D_D[MT],2,D_D[CAT],TA_26,D_D[EP],-1, D_D[LOC],$A24),0)</f>
        <v>0</v>
      </c>
      <c r="S24" s="40">
        <f>IFERROR(SUMIFS(D_D[INV],D_D[MT],7,D_D[CAT],2,D_D[EP],TA_20, D_D[LOC],$A24),0)</f>
        <v>0</v>
      </c>
      <c r="T24" s="7"/>
    </row>
    <row r="25" spans="1:20" x14ac:dyDescent="0.2">
      <c r="A25" s="24" t="s">
        <v>131</v>
      </c>
      <c r="B25" s="97" t="s">
        <v>68</v>
      </c>
      <c r="C25" s="43">
        <f>IFERROR(SUMIFS(D_D[INV],D_D[MT],1,D_D[CAT],TA_20,D_D[EP],-1, D_D[LOC],$A25),0)</f>
        <v>896</v>
      </c>
      <c r="D25" s="39">
        <f>IFERROR(SUMIFS(D_D[ADP],D_D[MT],1,D_D[CAT],D$1,D_D[EP],-1, D_D[LOC],$A25),0)</f>
        <v>82.52</v>
      </c>
      <c r="E25" s="37">
        <f>IFERROR(SUMIFS(D_D[INV],D_D[MT],2,D_D[CAT],TA_21,D_D[EP],-1, D_D[LOC],$A25),0)</f>
        <v>4664</v>
      </c>
      <c r="F25" s="36">
        <f>IFERROR(SUMIFS(D_D[BL],D_D[MT],2,D_D[CAT],TA_21,D_D[EP],-1, D_D[LOC],$A25),0)</f>
        <v>1232</v>
      </c>
      <c r="G25" s="48">
        <f t="shared" si="8"/>
        <v>0.26415094339622641</v>
      </c>
      <c r="H25" s="35">
        <f>IFERROR(SUMIFS(D_D[INV],D_D[MT],2,D_D[CAT],TA_22,D_D[EP],-1, D_D[LOC],$A25),0)</f>
        <v>2558</v>
      </c>
      <c r="I25" s="36">
        <f>IFERROR(SUMIFS(D_D[BL],D_D[MT],2,D_D[CAT],TA_22,D_D[EP],-1, D_D[LOC],$A25),0)</f>
        <v>1115</v>
      </c>
      <c r="J25" s="48">
        <f t="shared" si="9"/>
        <v>0.43588741204065679</v>
      </c>
      <c r="K25" s="41">
        <f>IFERROR(SUMIFS(D_D[INV],D_D[MT],2,D_D[CAT],TA_23,D_D[EP],-1, D_D[LOC],$A25),0)</f>
        <v>299</v>
      </c>
      <c r="L25" s="42">
        <f>IFERROR(SUMIFS(D_D[BL],D_D[MT],2,D_D[CAT],TA_23,D_D[EP],-1, D_D[LOC],$A25),0)</f>
        <v>264</v>
      </c>
      <c r="M25" s="48">
        <f t="shared" si="10"/>
        <v>0.882943143812709</v>
      </c>
      <c r="N25" s="41">
        <f>IFERROR(SUMIFS(D_D[INV],D_D[MT],2,D_D[CAT],TA_24,D_D[EP],-1, D_D[LOC],$A25),0)</f>
        <v>599</v>
      </c>
      <c r="O25" s="42">
        <f>IFERROR(SUMIFS(D_D[BL],D_D[MT],2,D_D[CAT],TA_24,D_D[EP],-1, D_D[LOC],$A25),0)</f>
        <v>422</v>
      </c>
      <c r="P25" s="48">
        <f t="shared" si="11"/>
        <v>0.70450751252086807</v>
      </c>
      <c r="Q25" s="40">
        <f>IFERROR(SUMIFS(D_D[INV],D_D[MT],2,D_D[CAT],TA_25,D_D[EP],-1, D_D[LOC],$A25),0)</f>
        <v>5</v>
      </c>
      <c r="R25" s="40">
        <f>IFERROR(SUMIFS(D_D[INV],D_D[MT],2,D_D[CAT],TA_26,D_D[EP],-1, D_D[LOC],$A25),0)</f>
        <v>31</v>
      </c>
      <c r="S25" s="40">
        <f>IFERROR(SUMIFS(D_D[INV],D_D[MT],7,D_D[CAT],2,D_D[EP],TA_20, D_D[LOC],$A25),0)</f>
        <v>6770</v>
      </c>
      <c r="T25" s="7"/>
    </row>
    <row r="26" spans="1:20" x14ac:dyDescent="0.2">
      <c r="A26" s="24" t="s">
        <v>153</v>
      </c>
      <c r="B26" s="97" t="s">
        <v>71</v>
      </c>
      <c r="C26" s="43">
        <f>IFERROR(SUMIFS(D_D[INV],D_D[MT],1,D_D[CAT],TA_20,D_D[EP],-1, D_D[LOC],$A26),0)</f>
        <v>268</v>
      </c>
      <c r="D26" s="39">
        <f>IFERROR(SUMIFS(D_D[ADP],D_D[MT],1,D_D[CAT],D$1,D_D[EP],-1, D_D[LOC],$A26),0)</f>
        <v>122.8</v>
      </c>
      <c r="E26" s="37">
        <f>IFERROR(SUMIFS(D_D[INV],D_D[MT],2,D_D[CAT],TA_21,D_D[EP],-1, D_D[LOC],$A26),0)</f>
        <v>1238</v>
      </c>
      <c r="F26" s="36">
        <f>IFERROR(SUMIFS(D_D[BL],D_D[MT],2,D_D[CAT],TA_21,D_D[EP],-1, D_D[LOC],$A26),0)</f>
        <v>294</v>
      </c>
      <c r="G26" s="48">
        <f t="shared" si="8"/>
        <v>0.23747980613893377</v>
      </c>
      <c r="H26" s="35">
        <f>IFERROR(SUMIFS(D_D[INV],D_D[MT],2,D_D[CAT],TA_22,D_D[EP],-1, D_D[LOC],$A26),0)</f>
        <v>1403</v>
      </c>
      <c r="I26" s="36">
        <f>IFERROR(SUMIFS(D_D[BL],D_D[MT],2,D_D[CAT],TA_22,D_D[EP],-1, D_D[LOC],$A26),0)</f>
        <v>704</v>
      </c>
      <c r="J26" s="48">
        <f t="shared" si="9"/>
        <v>0.50178189593727729</v>
      </c>
      <c r="K26" s="41">
        <f>IFERROR(SUMIFS(D_D[INV],D_D[MT],2,D_D[CAT],TA_23,D_D[EP],-1, D_D[LOC],$A26),0)</f>
        <v>4</v>
      </c>
      <c r="L26" s="42">
        <f>IFERROR(SUMIFS(D_D[BL],D_D[MT],2,D_D[CAT],TA_23,D_D[EP],-1, D_D[LOC],$A26),0)</f>
        <v>2</v>
      </c>
      <c r="M26" s="48">
        <f t="shared" si="10"/>
        <v>0.5</v>
      </c>
      <c r="N26" s="41">
        <f>IFERROR(SUMIFS(D_D[INV],D_D[MT],2,D_D[CAT],TA_24,D_D[EP],-1, D_D[LOC],$A26),0)</f>
        <v>245</v>
      </c>
      <c r="O26" s="42">
        <f>IFERROR(SUMIFS(D_D[BL],D_D[MT],2,D_D[CAT],TA_24,D_D[EP],-1, D_D[LOC],$A26),0)</f>
        <v>136</v>
      </c>
      <c r="P26" s="48">
        <f t="shared" si="11"/>
        <v>0.55510204081632653</v>
      </c>
      <c r="Q26" s="40">
        <f>IFERROR(SUMIFS(D_D[INV],D_D[MT],2,D_D[CAT],TA_25,D_D[EP],-1, D_D[LOC],$A26),0)</f>
        <v>0</v>
      </c>
      <c r="R26" s="40">
        <f>IFERROR(SUMIFS(D_D[INV],D_D[MT],2,D_D[CAT],TA_26,D_D[EP],-1, D_D[LOC],$A26),0)</f>
        <v>4</v>
      </c>
      <c r="S26" s="40">
        <f>IFERROR(SUMIFS(D_D[INV],D_D[MT],7,D_D[CAT],2,D_D[EP],TA_20, D_D[LOC],$A26),0)</f>
        <v>1272</v>
      </c>
      <c r="T26" s="7"/>
    </row>
    <row r="27" spans="1:20" x14ac:dyDescent="0.2">
      <c r="A27" s="24" t="s">
        <v>360</v>
      </c>
      <c r="B27" s="97" t="s">
        <v>73</v>
      </c>
      <c r="C27" s="43">
        <f>IFERROR(SUMIFS(D_D[INV],D_D[MT],1,D_D[CAT],TA_20,D_D[EP],-1, D_D[LOC],$A27),0)</f>
        <v>61</v>
      </c>
      <c r="D27" s="39">
        <f>IFERROR(SUMIFS(D_D[ADP],D_D[MT],1,D_D[CAT],D$1,D_D[EP],-1, D_D[LOC],$A27),0)</f>
        <v>148.61000000000001</v>
      </c>
      <c r="E27" s="37">
        <f>IFERROR(SUMIFS(D_D[INV],D_D[MT],2,D_D[CAT],TA_21,D_D[EP],-1, D_D[LOC],$A27),0)</f>
        <v>306</v>
      </c>
      <c r="F27" s="36">
        <f>IFERROR(SUMIFS(D_D[BL],D_D[MT],2,D_D[CAT],TA_21,D_D[EP],-1, D_D[LOC],$A27),0)</f>
        <v>150</v>
      </c>
      <c r="G27" s="48">
        <f t="shared" si="8"/>
        <v>0.49019607843137253</v>
      </c>
      <c r="H27" s="35">
        <f>IFERROR(SUMIFS(D_D[INV],D_D[MT],2,D_D[CAT],TA_22,D_D[EP],-1, D_D[LOC],$A27),0)</f>
        <v>69</v>
      </c>
      <c r="I27" s="36">
        <f>IFERROR(SUMIFS(D_D[BL],D_D[MT],2,D_D[CAT],TA_22,D_D[EP],-1, D_D[LOC],$A27),0)</f>
        <v>29</v>
      </c>
      <c r="J27" s="48">
        <f t="shared" si="9"/>
        <v>0.42028985507246375</v>
      </c>
      <c r="K27" s="41">
        <f>IFERROR(SUMIFS(D_D[INV],D_D[MT],2,D_D[CAT],TA_23,D_D[EP],-1, D_D[LOC],$A27),0)</f>
        <v>41</v>
      </c>
      <c r="L27" s="42">
        <f>IFERROR(SUMIFS(D_D[BL],D_D[MT],2,D_D[CAT],TA_23,D_D[EP],-1, D_D[LOC],$A27),0)</f>
        <v>36</v>
      </c>
      <c r="M27" s="48">
        <f t="shared" si="10"/>
        <v>0.87804878048780488</v>
      </c>
      <c r="N27" s="41">
        <f>IFERROR(SUMIFS(D_D[INV],D_D[MT],2,D_D[CAT],TA_24,D_D[EP],-1, D_D[LOC],$A27),0)</f>
        <v>8</v>
      </c>
      <c r="O27" s="42">
        <f>IFERROR(SUMIFS(D_D[BL],D_D[MT],2,D_D[CAT],TA_24,D_D[EP],-1, D_D[LOC],$A27),0)</f>
        <v>6</v>
      </c>
      <c r="P27" s="48">
        <f t="shared" si="11"/>
        <v>0.75</v>
      </c>
      <c r="Q27" s="40">
        <f>IFERROR(SUMIFS(D_D[INV],D_D[MT],2,D_D[CAT],TA_25,D_D[EP],-1, D_D[LOC],$A27),0)</f>
        <v>0</v>
      </c>
      <c r="R27" s="40">
        <f>IFERROR(SUMIFS(D_D[INV],D_D[MT],2,D_D[CAT],TA_26,D_D[EP],-1, D_D[LOC],$A27),0)</f>
        <v>0</v>
      </c>
      <c r="S27" s="40">
        <f>IFERROR(SUMIFS(D_D[INV],D_D[MT],7,D_D[CAT],2,D_D[EP],TA_20, D_D[LOC],$A27),0)</f>
        <v>2</v>
      </c>
      <c r="T27" s="7"/>
    </row>
    <row r="28" spans="1:20" x14ac:dyDescent="0.2">
      <c r="A28" s="24" t="s">
        <v>78</v>
      </c>
      <c r="B28" s="97" t="s">
        <v>108</v>
      </c>
      <c r="C28" s="43">
        <f>IFERROR(SUMIFS(D_D[INV],D_D[MT],1,D_D[CAT],TA_20,D_D[EP],-1, D_D[LOC],$A28),0)</f>
        <v>48</v>
      </c>
      <c r="D28" s="39">
        <f>IFERROR(SUMIFS(D_D[ADP],D_D[MT],1,D_D[CAT],D$1,D_D[EP],-1, D_D[LOC],$A28),0)</f>
        <v>165.25</v>
      </c>
      <c r="E28" s="37">
        <f>IFERROR(SUMIFS(D_D[INV],D_D[MT],2,D_D[CAT],TA_21,D_D[EP],-1, D_D[LOC],$A28),0)</f>
        <v>257</v>
      </c>
      <c r="F28" s="36">
        <f>IFERROR(SUMIFS(D_D[BL],D_D[MT],2,D_D[CAT],TA_21,D_D[EP],-1, D_D[LOC],$A28),0)</f>
        <v>130</v>
      </c>
      <c r="G28" s="48">
        <f t="shared" si="8"/>
        <v>0.50583657587548636</v>
      </c>
      <c r="H28" s="35">
        <f>IFERROR(SUMIFS(D_D[INV],D_D[MT],2,D_D[CAT],TA_22,D_D[EP],-1, D_D[LOC],$A28),0)</f>
        <v>338</v>
      </c>
      <c r="I28" s="36">
        <f>IFERROR(SUMIFS(D_D[BL],D_D[MT],2,D_D[CAT],TA_22,D_D[EP],-1, D_D[LOC],$A28),0)</f>
        <v>235</v>
      </c>
      <c r="J28" s="48">
        <f t="shared" si="9"/>
        <v>0.69526627218934911</v>
      </c>
      <c r="K28" s="41">
        <f>IFERROR(SUMIFS(D_D[INV],D_D[MT],2,D_D[CAT],TA_23,D_D[EP],-1, D_D[LOC],$A28),0)</f>
        <v>9</v>
      </c>
      <c r="L28" s="42">
        <f>IFERROR(SUMIFS(D_D[BL],D_D[MT],2,D_D[CAT],TA_23,D_D[EP],-1, D_D[LOC],$A28),0)</f>
        <v>2</v>
      </c>
      <c r="M28" s="48">
        <f t="shared" si="10"/>
        <v>0.22222222222222221</v>
      </c>
      <c r="N28" s="41">
        <f>IFERROR(SUMIFS(D_D[INV],D_D[MT],2,D_D[CAT],TA_24,D_D[EP],-1, D_D[LOC],$A28),0)</f>
        <v>70</v>
      </c>
      <c r="O28" s="42">
        <f>IFERROR(SUMIFS(D_D[BL],D_D[MT],2,D_D[CAT],TA_24,D_D[EP],-1, D_D[LOC],$A28),0)</f>
        <v>44</v>
      </c>
      <c r="P28" s="48">
        <f t="shared" si="11"/>
        <v>0.62857142857142856</v>
      </c>
      <c r="Q28" s="40">
        <f>IFERROR(SUMIFS(D_D[INV],D_D[MT],2,D_D[CAT],TA_25,D_D[EP],-1, D_D[LOC],$A28),0)</f>
        <v>0</v>
      </c>
      <c r="R28" s="40">
        <f>IFERROR(SUMIFS(D_D[INV],D_D[MT],2,D_D[CAT],TA_26,D_D[EP],-1, D_D[LOC],$A28),0)</f>
        <v>3</v>
      </c>
      <c r="S28" s="40">
        <f>IFERROR(SUMIFS(D_D[INV],D_D[MT],7,D_D[CAT],2,D_D[EP],TA_20, D_D[LOC],$A28),0)</f>
        <v>612</v>
      </c>
      <c r="T28" s="7"/>
    </row>
    <row r="29" spans="1:20" x14ac:dyDescent="0.2">
      <c r="A29" s="24" t="s">
        <v>159</v>
      </c>
      <c r="B29" s="97" t="s">
        <v>75</v>
      </c>
      <c r="C29" s="43">
        <f>IFERROR(SUMIFS(D_D[INV],D_D[MT],1,D_D[CAT],TA_20,D_D[EP],-1, D_D[LOC],$A29),0)</f>
        <v>45</v>
      </c>
      <c r="D29" s="39">
        <f>IFERROR(SUMIFS(D_D[ADP],D_D[MT],1,D_D[CAT],D$1,D_D[EP],-1, D_D[LOC],$A29),0)</f>
        <v>134.91</v>
      </c>
      <c r="E29" s="37">
        <f>IFERROR(SUMIFS(D_D[INV],D_D[MT],2,D_D[CAT],TA_21,D_D[EP],-1, D_D[LOC],$A29),0)</f>
        <v>526</v>
      </c>
      <c r="F29" s="36">
        <f>IFERROR(SUMIFS(D_D[BL],D_D[MT],2,D_D[CAT],TA_21,D_D[EP],-1, D_D[LOC],$A29),0)</f>
        <v>210</v>
      </c>
      <c r="G29" s="48">
        <f t="shared" si="8"/>
        <v>0.39923954372623577</v>
      </c>
      <c r="H29" s="35">
        <f>IFERROR(SUMIFS(D_D[INV],D_D[MT],2,D_D[CAT],TA_22,D_D[EP],-1, D_D[LOC],$A29),0)</f>
        <v>247</v>
      </c>
      <c r="I29" s="36">
        <f>IFERROR(SUMIFS(D_D[BL],D_D[MT],2,D_D[CAT],TA_22,D_D[EP],-1, D_D[LOC],$A29),0)</f>
        <v>148</v>
      </c>
      <c r="J29" s="48">
        <f t="shared" si="9"/>
        <v>0.59919028340080971</v>
      </c>
      <c r="K29" s="41">
        <f>IFERROR(SUMIFS(D_D[INV],D_D[MT],2,D_D[CAT],TA_23,D_D[EP],-1, D_D[LOC],$A29),0)</f>
        <v>0</v>
      </c>
      <c r="L29" s="42">
        <f>IFERROR(SUMIFS(D_D[BL],D_D[MT],2,D_D[CAT],TA_23,D_D[EP],-1, D_D[LOC],$A29),0)</f>
        <v>0</v>
      </c>
      <c r="M29" s="48" t="str">
        <f t="shared" si="10"/>
        <v>0%</v>
      </c>
      <c r="N29" s="41">
        <f>IFERROR(SUMIFS(D_D[INV],D_D[MT],2,D_D[CAT],TA_24,D_D[EP],-1, D_D[LOC],$A29),0)</f>
        <v>32</v>
      </c>
      <c r="O29" s="42">
        <f>IFERROR(SUMIFS(D_D[BL],D_D[MT],2,D_D[CAT],TA_24,D_D[EP],-1, D_D[LOC],$A29),0)</f>
        <v>28</v>
      </c>
      <c r="P29" s="48">
        <f t="shared" si="11"/>
        <v>0.875</v>
      </c>
      <c r="Q29" s="40">
        <f>IFERROR(SUMIFS(D_D[INV],D_D[MT],2,D_D[CAT],TA_25,D_D[EP],-1, D_D[LOC],$A29),0)</f>
        <v>0</v>
      </c>
      <c r="R29" s="40">
        <f>IFERROR(SUMIFS(D_D[INV],D_D[MT],2,D_D[CAT],TA_26,D_D[EP],-1, D_D[LOC],$A29),0)</f>
        <v>0</v>
      </c>
      <c r="S29" s="40">
        <f>IFERROR(SUMIFS(D_D[INV],D_D[MT],7,D_D[CAT],2,D_D[EP],TA_20, D_D[LOC],$A29),0)</f>
        <v>0</v>
      </c>
      <c r="T29" s="7"/>
    </row>
    <row r="30" spans="1:20" x14ac:dyDescent="0.2">
      <c r="A30" s="9">
        <v>393</v>
      </c>
      <c r="B30" s="228" t="s">
        <v>290</v>
      </c>
      <c r="C30" s="44">
        <f>IFERROR(SUMIFS(D_D[INV],D_D[MT],1,D_D[CAT],TA_20,D_D[EP],-1, D_D[LOC],$A30),0)</f>
        <v>16856</v>
      </c>
      <c r="D30" s="38">
        <f>IFERROR(SUMIFS(D_D[ADP],D_D[MT],1,D_D[CAT],D$1,D_D[EP],-1, D_D[LOC],$A30),0)</f>
        <v>122.91</v>
      </c>
      <c r="E30" s="45">
        <f>IFERROR(SUMIFS(D_D[INV],D_D[MT],2,D_D[CAT],TA_21,D_D[EP],-1, D_D[LOC],$A30),0)</f>
        <v>110658</v>
      </c>
      <c r="F30" s="49">
        <f>IFERROR(SUMIFS(D_D[BL],D_D[MT],2,D_D[CAT],TA_21,D_D[EP],-1, D_D[LOC],$A30),0)</f>
        <v>25662</v>
      </c>
      <c r="G30" s="46">
        <f t="shared" si="8"/>
        <v>0.23190370330206583</v>
      </c>
      <c r="H30" s="49">
        <f>IFERROR(SUMIFS(D_D[INV],D_D[MT],2,D_D[CAT],TA_22,D_D[EP],-1, D_D[LOC],$A30),0)</f>
        <v>50086</v>
      </c>
      <c r="I30" s="49">
        <f>IFERROR(SUMIFS(D_D[BL],D_D[MT],2,D_D[CAT],TA_22,D_D[EP],-1, D_D[LOC],$A30),0)</f>
        <v>16137</v>
      </c>
      <c r="J30" s="46">
        <f t="shared" si="9"/>
        <v>0.32218584035459008</v>
      </c>
      <c r="K30" s="44">
        <f>IFERROR(SUMIFS(D_D[INV],D_D[MT],2,D_D[CAT],TA_23,D_D[EP],-1, D_D[LOC],$A30),0)</f>
        <v>7002</v>
      </c>
      <c r="L30" s="44">
        <f>IFERROR(SUMIFS(D_D[BL],D_D[MT],2,D_D[CAT],TA_23,D_D[EP],-1, D_D[LOC],$A30),0)</f>
        <v>4002</v>
      </c>
      <c r="M30" s="46">
        <f t="shared" si="10"/>
        <v>0.57155098543273353</v>
      </c>
      <c r="N30" s="44">
        <f>IFERROR(SUMIFS(D_D[INV],D_D[MT],2,D_D[CAT],TA_24,D_D[EP],-1, D_D[LOC],$A30),0)</f>
        <v>13877</v>
      </c>
      <c r="O30" s="44">
        <f>IFERROR(SUMIFS(D_D[BL],D_D[MT],2,D_D[CAT],TA_24,D_D[EP],-1, D_D[LOC],$A30),0)</f>
        <v>7771</v>
      </c>
      <c r="P30" s="46">
        <f t="shared" si="11"/>
        <v>0.55999135259782373</v>
      </c>
      <c r="Q30" s="44">
        <f>IFERROR(SUMIFS(D_D[INV],D_D[MT],2,D_D[CAT],TA_25,D_D[EP],-1, D_D[LOC],$A30),0)</f>
        <v>235</v>
      </c>
      <c r="R30" s="47">
        <f>IFERROR(SUMIFS(D_D[INV],D_D[MT],2,D_D[CAT],TA_26,D_D[EP],-1, D_D[LOC],$A30),0)</f>
        <v>1417</v>
      </c>
      <c r="S30" s="47">
        <f>IFERROR(SUMIFS(D_D[INV],D_D[MT],7,D_D[CAT],2,D_D[EP],TA_20, D_D[LOC],$A30),0)</f>
        <v>55655</v>
      </c>
      <c r="T30" s="7"/>
    </row>
    <row r="31" spans="1:20" x14ac:dyDescent="0.2">
      <c r="A31" s="24" t="s">
        <v>118</v>
      </c>
      <c r="B31" s="97" t="s">
        <v>21</v>
      </c>
      <c r="C31" s="43">
        <f>IFERROR(SUMIFS(D_D[INV],D_D[MT],1,D_D[CAT],TA_20,D_D[EP],-1, D_D[LOC],$A31),0)</f>
        <v>1683</v>
      </c>
      <c r="D31" s="39">
        <f>IFERROR(SUMIFS(D_D[ADP],D_D[MT],1,D_D[CAT],D$1,D_D[EP],-1, D_D[LOC],$A31),0)</f>
        <v>100.5</v>
      </c>
      <c r="E31" s="37">
        <f>IFERROR(SUMIFS(D_D[INV],D_D[MT],2,D_D[CAT],TA_21,D_D[EP],-1, D_D[LOC],$A31),0)</f>
        <v>17298</v>
      </c>
      <c r="F31" s="36">
        <f>IFERROR(SUMIFS(D_D[BL],D_D[MT],2,D_D[CAT],TA_21,D_D[EP],-1, D_D[LOC],$A31),0)</f>
        <v>3698</v>
      </c>
      <c r="G31" s="48">
        <f t="shared" si="4"/>
        <v>0.21378194010868309</v>
      </c>
      <c r="H31" s="35">
        <f>IFERROR(SUMIFS(D_D[INV],D_D[MT],2,D_D[CAT],TA_22,D_D[EP],-1, D_D[LOC],$A31),0)</f>
        <v>4813</v>
      </c>
      <c r="I31" s="36">
        <f>IFERROR(SUMIFS(D_D[BL],D_D[MT],2,D_D[CAT],TA_22,D_D[EP],-1, D_D[LOC],$A31),0)</f>
        <v>1855</v>
      </c>
      <c r="J31" s="48">
        <f t="shared" si="5"/>
        <v>0.38541450238936215</v>
      </c>
      <c r="K31" s="41">
        <f>IFERROR(SUMIFS(D_D[INV],D_D[MT],2,D_D[CAT],TA_23,D_D[EP],-1, D_D[LOC],$A31),0)</f>
        <v>626</v>
      </c>
      <c r="L31" s="42">
        <f>IFERROR(SUMIFS(D_D[BL],D_D[MT],2,D_D[CAT],TA_23,D_D[EP],-1, D_D[LOC],$A31),0)</f>
        <v>356</v>
      </c>
      <c r="M31" s="48">
        <f t="shared" si="6"/>
        <v>0.56869009584664532</v>
      </c>
      <c r="N31" s="41">
        <f>IFERROR(SUMIFS(D_D[INV],D_D[MT],2,D_D[CAT],TA_24,D_D[EP],-1, D_D[LOC],$A31),0)</f>
        <v>1406</v>
      </c>
      <c r="O31" s="42">
        <f>IFERROR(SUMIFS(D_D[BL],D_D[MT],2,D_D[CAT],TA_24,D_D[EP],-1, D_D[LOC],$A31),0)</f>
        <v>695</v>
      </c>
      <c r="P31" s="48">
        <f t="shared" si="7"/>
        <v>0.49431009957325744</v>
      </c>
      <c r="Q31" s="40">
        <f>IFERROR(SUMIFS(D_D[INV],D_D[MT],2,D_D[CAT],TA_25,D_D[EP],-1, D_D[LOC],$A31),0)</f>
        <v>1</v>
      </c>
      <c r="R31" s="40">
        <f>IFERROR(SUMIFS(D_D[INV],D_D[MT],2,D_D[CAT],TA_26,D_D[EP],-1, D_D[LOC],$A31),0)</f>
        <v>82</v>
      </c>
      <c r="S31" s="40">
        <f>IFERROR(SUMIFS(D_D[INV],D_D[MT],7,D_D[CAT],2,D_D[EP],TA_20, D_D[LOC],$A31),0)</f>
        <v>2945</v>
      </c>
      <c r="T31" s="7"/>
    </row>
    <row r="32" spans="1:20" x14ac:dyDescent="0.2">
      <c r="A32" s="24" t="s">
        <v>121</v>
      </c>
      <c r="B32" s="97" t="s">
        <v>32</v>
      </c>
      <c r="C32" s="43">
        <f>IFERROR(SUMIFS(D_D[INV],D_D[MT],1,D_D[CAT],TA_20,D_D[EP],-1, D_D[LOC],$A32),0)</f>
        <v>2445</v>
      </c>
      <c r="D32" s="39">
        <f>IFERROR(SUMIFS(D_D[ADP],D_D[MT],1,D_D[CAT],D$1,D_D[EP],-1, D_D[LOC],$A32),0)</f>
        <v>94.26</v>
      </c>
      <c r="E32" s="37">
        <f>IFERROR(SUMIFS(D_D[INV],D_D[MT],2,D_D[CAT],TA_21,D_D[EP],-1, D_D[LOC],$A32),0)</f>
        <v>8965</v>
      </c>
      <c r="F32" s="36">
        <f>IFERROR(SUMIFS(D_D[BL],D_D[MT],2,D_D[CAT],TA_21,D_D[EP],-1, D_D[LOC],$A32),0)</f>
        <v>1844</v>
      </c>
      <c r="G32" s="48">
        <f t="shared" ref="G32:G46" si="12">IFERROR(F32/E32,"0%")</f>
        <v>0.2056887897378695</v>
      </c>
      <c r="H32" s="35">
        <f>IFERROR(SUMIFS(D_D[INV],D_D[MT],2,D_D[CAT],TA_22,D_D[EP],-1, D_D[LOC],$A32),0)</f>
        <v>5692</v>
      </c>
      <c r="I32" s="36">
        <f>IFERROR(SUMIFS(D_D[BL],D_D[MT],2,D_D[CAT],TA_22,D_D[EP],-1, D_D[LOC],$A32),0)</f>
        <v>1281</v>
      </c>
      <c r="J32" s="48">
        <f t="shared" ref="J32:J46" si="13">IFERROR(I32/H32,"0%")</f>
        <v>0.22505270555165144</v>
      </c>
      <c r="K32" s="41">
        <f>IFERROR(SUMIFS(D_D[INV],D_D[MT],2,D_D[CAT],TA_23,D_D[EP],-1, D_D[LOC],$A32),0)</f>
        <v>829</v>
      </c>
      <c r="L32" s="42">
        <f>IFERROR(SUMIFS(D_D[BL],D_D[MT],2,D_D[CAT],TA_23,D_D[EP],-1, D_D[LOC],$A32),0)</f>
        <v>638</v>
      </c>
      <c r="M32" s="48">
        <f t="shared" ref="M32:M46" si="14">IFERROR(L32/K32,"0%")</f>
        <v>0.76960193003618815</v>
      </c>
      <c r="N32" s="41">
        <f>IFERROR(SUMIFS(D_D[INV],D_D[MT],2,D_D[CAT],TA_24,D_D[EP],-1, D_D[LOC],$A32),0)</f>
        <v>1288</v>
      </c>
      <c r="O32" s="42">
        <f>IFERROR(SUMIFS(D_D[BL],D_D[MT],2,D_D[CAT],TA_24,D_D[EP],-1, D_D[LOC],$A32),0)</f>
        <v>595</v>
      </c>
      <c r="P32" s="48">
        <f t="shared" ref="P32:P46" si="15">IFERROR(O32/N32,"0%")</f>
        <v>0.46195652173913043</v>
      </c>
      <c r="Q32" s="40">
        <f>IFERROR(SUMIFS(D_D[INV],D_D[MT],2,D_D[CAT],TA_25,D_D[EP],-1, D_D[LOC],$A32),0)</f>
        <v>0</v>
      </c>
      <c r="R32" s="40">
        <f>IFERROR(SUMIFS(D_D[INV],D_D[MT],2,D_D[CAT],TA_26,D_D[EP],-1, D_D[LOC],$A32),0)</f>
        <v>73</v>
      </c>
      <c r="S32" s="40">
        <f>IFERROR(SUMIFS(D_D[INV],D_D[MT],7,D_D[CAT],2,D_D[EP],TA_20, D_D[LOC],$A32),0)</f>
        <v>1716</v>
      </c>
      <c r="T32" s="7"/>
    </row>
    <row r="33" spans="1:20" x14ac:dyDescent="0.2">
      <c r="A33" s="24">
        <v>315</v>
      </c>
      <c r="B33" s="97" t="s">
        <v>40</v>
      </c>
      <c r="C33" s="43">
        <f>IFERROR(SUMIFS(D_D[INV],D_D[MT],1,D_D[CAT],TA_20,D_D[EP],-1, D_D[LOC],$A33),0)</f>
        <v>307</v>
      </c>
      <c r="D33" s="39">
        <f>IFERROR(SUMIFS(D_D[ADP],D_D[MT],1,D_D[CAT],D$1,D_D[EP],-1, D_D[LOC],$A33),0)</f>
        <v>104.77</v>
      </c>
      <c r="E33" s="37">
        <f>IFERROR(SUMIFS(D_D[INV],D_D[MT],2,D_D[CAT],TA_21,D_D[EP],-1, D_D[LOC],$A33),0)</f>
        <v>2823</v>
      </c>
      <c r="F33" s="36">
        <f>IFERROR(SUMIFS(D_D[BL],D_D[MT],2,D_D[CAT],TA_21,D_D[EP],-1, D_D[LOC],$A33),0)</f>
        <v>539</v>
      </c>
      <c r="G33" s="48">
        <f t="shared" si="12"/>
        <v>0.19093163301452357</v>
      </c>
      <c r="H33" s="35">
        <f>IFERROR(SUMIFS(D_D[INV],D_D[MT],2,D_D[CAT],TA_22,D_D[EP],-1, D_D[LOC],$A33),0)</f>
        <v>1272</v>
      </c>
      <c r="I33" s="36">
        <f>IFERROR(SUMIFS(D_D[BL],D_D[MT],2,D_D[CAT],TA_22,D_D[EP],-1, D_D[LOC],$A33),0)</f>
        <v>589</v>
      </c>
      <c r="J33" s="48">
        <f t="shared" si="13"/>
        <v>0.46305031446540879</v>
      </c>
      <c r="K33" s="41">
        <f>IFERROR(SUMIFS(D_D[INV],D_D[MT],2,D_D[CAT],TA_23,D_D[EP],-1, D_D[LOC],$A33),0)</f>
        <v>19</v>
      </c>
      <c r="L33" s="42">
        <f>IFERROR(SUMIFS(D_D[BL],D_D[MT],2,D_D[CAT],TA_23,D_D[EP],-1, D_D[LOC],$A33),0)</f>
        <v>11</v>
      </c>
      <c r="M33" s="48">
        <f t="shared" si="14"/>
        <v>0.57894736842105265</v>
      </c>
      <c r="N33" s="41">
        <f>IFERROR(SUMIFS(D_D[INV],D_D[MT],2,D_D[CAT],TA_24,D_D[EP],-1, D_D[LOC],$A33),0)</f>
        <v>562</v>
      </c>
      <c r="O33" s="42">
        <f>IFERROR(SUMIFS(D_D[BL],D_D[MT],2,D_D[CAT],TA_24,D_D[EP],-1, D_D[LOC],$A33),0)</f>
        <v>384</v>
      </c>
      <c r="P33" s="48">
        <f t="shared" si="15"/>
        <v>0.68327402135231319</v>
      </c>
      <c r="Q33" s="40">
        <f>IFERROR(SUMIFS(D_D[INV],D_D[MT],2,D_D[CAT],TA_25,D_D[EP],-1, D_D[LOC],$A33),0)</f>
        <v>0</v>
      </c>
      <c r="R33" s="40">
        <f>IFERROR(SUMIFS(D_D[INV],D_D[MT],2,D_D[CAT],TA_26,D_D[EP],-1, D_D[LOC],$A33),0)</f>
        <v>18</v>
      </c>
      <c r="S33" s="40">
        <f>IFERROR(SUMIFS(D_D[INV],D_D[MT],7,D_D[CAT],2,D_D[EP],TA_20, D_D[LOC],$A33),0)</f>
        <v>4298</v>
      </c>
      <c r="T33" s="7"/>
    </row>
    <row r="34" spans="1:20" x14ac:dyDescent="0.2">
      <c r="A34" s="24" t="s">
        <v>124</v>
      </c>
      <c r="B34" s="97" t="s">
        <v>42</v>
      </c>
      <c r="C34" s="43">
        <f>IFERROR(SUMIFS(D_D[INV],D_D[MT],1,D_D[CAT],TA_20,D_D[EP],-1, D_D[LOC],$A34),0)</f>
        <v>624</v>
      </c>
      <c r="D34" s="39">
        <f>IFERROR(SUMIFS(D_D[ADP],D_D[MT],1,D_D[CAT],D$1,D_D[EP],-1, D_D[LOC],$A34),0)</f>
        <v>82.91</v>
      </c>
      <c r="E34" s="37">
        <f>IFERROR(SUMIFS(D_D[INV],D_D[MT],2,D_D[CAT],TA_21,D_D[EP],-1, D_D[LOC],$A34),0)</f>
        <v>4831</v>
      </c>
      <c r="F34" s="36">
        <f>IFERROR(SUMIFS(D_D[BL],D_D[MT],2,D_D[CAT],TA_21,D_D[EP],-1, D_D[LOC],$A34),0)</f>
        <v>1425</v>
      </c>
      <c r="G34" s="48">
        <f t="shared" si="12"/>
        <v>0.29496998551024634</v>
      </c>
      <c r="H34" s="35">
        <f>IFERROR(SUMIFS(D_D[INV],D_D[MT],2,D_D[CAT],TA_22,D_D[EP],-1, D_D[LOC],$A34),0)</f>
        <v>1559</v>
      </c>
      <c r="I34" s="36">
        <f>IFERROR(SUMIFS(D_D[BL],D_D[MT],2,D_D[CAT],TA_22,D_D[EP],-1, D_D[LOC],$A34),0)</f>
        <v>690</v>
      </c>
      <c r="J34" s="48">
        <f t="shared" si="13"/>
        <v>0.44259140474663244</v>
      </c>
      <c r="K34" s="41">
        <f>IFERROR(SUMIFS(D_D[INV],D_D[MT],2,D_D[CAT],TA_23,D_D[EP],-1, D_D[LOC],$A34),0)</f>
        <v>260</v>
      </c>
      <c r="L34" s="42">
        <f>IFERROR(SUMIFS(D_D[BL],D_D[MT],2,D_D[CAT],TA_23,D_D[EP],-1, D_D[LOC],$A34),0)</f>
        <v>240</v>
      </c>
      <c r="M34" s="48">
        <f t="shared" si="14"/>
        <v>0.92307692307692313</v>
      </c>
      <c r="N34" s="41">
        <f>IFERROR(SUMIFS(D_D[INV],D_D[MT],2,D_D[CAT],TA_24,D_D[EP],-1, D_D[LOC],$A34),0)</f>
        <v>468</v>
      </c>
      <c r="O34" s="42">
        <f>IFERROR(SUMIFS(D_D[BL],D_D[MT],2,D_D[CAT],TA_24,D_D[EP],-1, D_D[LOC],$A34),0)</f>
        <v>212</v>
      </c>
      <c r="P34" s="48">
        <f t="shared" si="15"/>
        <v>0.45299145299145299</v>
      </c>
      <c r="Q34" s="40">
        <f>IFERROR(SUMIFS(D_D[INV],D_D[MT],2,D_D[CAT],TA_25,D_D[EP],-1, D_D[LOC],$A34),0)</f>
        <v>1</v>
      </c>
      <c r="R34" s="40">
        <f>IFERROR(SUMIFS(D_D[INV],D_D[MT],2,D_D[CAT],TA_26,D_D[EP],-1, D_D[LOC],$A34),0)</f>
        <v>81</v>
      </c>
      <c r="S34" s="40">
        <f>IFERROR(SUMIFS(D_D[INV],D_D[MT],7,D_D[CAT],2,D_D[EP],TA_20, D_D[LOC],$A34),0)</f>
        <v>4859</v>
      </c>
      <c r="T34" s="7"/>
    </row>
    <row r="35" spans="1:20" x14ac:dyDescent="0.2">
      <c r="A35" s="24" t="s">
        <v>145</v>
      </c>
      <c r="B35" s="97" t="s">
        <v>44</v>
      </c>
      <c r="C35" s="43">
        <f>IFERROR(SUMIFS(D_D[INV],D_D[MT],1,D_D[CAT],TA_20,D_D[EP],-1, D_D[LOC],$A35),0)</f>
        <v>1092</v>
      </c>
      <c r="D35" s="39">
        <f>IFERROR(SUMIFS(D_D[ADP],D_D[MT],1,D_D[CAT],D$1,D_D[EP],-1, D_D[LOC],$A35),0)</f>
        <v>92.39</v>
      </c>
      <c r="E35" s="37">
        <f>IFERROR(SUMIFS(D_D[INV],D_D[MT],2,D_D[CAT],TA_21,D_D[EP],-1, D_D[LOC],$A35),0)</f>
        <v>3246</v>
      </c>
      <c r="F35" s="36">
        <f>IFERROR(SUMIFS(D_D[BL],D_D[MT],2,D_D[CAT],TA_21,D_D[EP],-1, D_D[LOC],$A35),0)</f>
        <v>790</v>
      </c>
      <c r="G35" s="48">
        <f t="shared" si="12"/>
        <v>0.24337646333949475</v>
      </c>
      <c r="H35" s="35">
        <f>IFERROR(SUMIFS(D_D[INV],D_D[MT],2,D_D[CAT],TA_22,D_D[EP],-1, D_D[LOC],$A35),0)</f>
        <v>3521</v>
      </c>
      <c r="I35" s="36">
        <f>IFERROR(SUMIFS(D_D[BL],D_D[MT],2,D_D[CAT],TA_22,D_D[EP],-1, D_D[LOC],$A35),0)</f>
        <v>871</v>
      </c>
      <c r="J35" s="48">
        <f t="shared" si="13"/>
        <v>0.24737290542459528</v>
      </c>
      <c r="K35" s="41">
        <f>IFERROR(SUMIFS(D_D[INV],D_D[MT],2,D_D[CAT],TA_23,D_D[EP],-1, D_D[LOC],$A35),0)</f>
        <v>57</v>
      </c>
      <c r="L35" s="42">
        <f>IFERROR(SUMIFS(D_D[BL],D_D[MT],2,D_D[CAT],TA_23,D_D[EP],-1, D_D[LOC],$A35),0)</f>
        <v>2</v>
      </c>
      <c r="M35" s="48">
        <f t="shared" si="14"/>
        <v>3.5087719298245612E-2</v>
      </c>
      <c r="N35" s="41">
        <f>IFERROR(SUMIFS(D_D[INV],D_D[MT],2,D_D[CAT],TA_24,D_D[EP],-1, D_D[LOC],$A35),0)</f>
        <v>449</v>
      </c>
      <c r="O35" s="42">
        <f>IFERROR(SUMIFS(D_D[BL],D_D[MT],2,D_D[CAT],TA_24,D_D[EP],-1, D_D[LOC],$A35),0)</f>
        <v>252</v>
      </c>
      <c r="P35" s="48">
        <f t="shared" si="15"/>
        <v>0.56124721603563477</v>
      </c>
      <c r="Q35" s="40">
        <f>IFERROR(SUMIFS(D_D[INV],D_D[MT],2,D_D[CAT],TA_25,D_D[EP],-1, D_D[LOC],$A35),0)</f>
        <v>0</v>
      </c>
      <c r="R35" s="40">
        <f>IFERROR(SUMIFS(D_D[INV],D_D[MT],2,D_D[CAT],TA_26,D_D[EP],-1, D_D[LOC],$A35),0)</f>
        <v>29</v>
      </c>
      <c r="S35" s="40">
        <f>IFERROR(SUMIFS(D_D[INV],D_D[MT],7,D_D[CAT],2,D_D[EP],TA_20, D_D[LOC],$A35),0)</f>
        <v>3816</v>
      </c>
      <c r="T35" s="7"/>
    </row>
    <row r="36" spans="1:20" x14ac:dyDescent="0.2">
      <c r="A36" s="24" t="s">
        <v>127</v>
      </c>
      <c r="B36" s="97" t="s">
        <v>46</v>
      </c>
      <c r="C36" s="43">
        <f>IFERROR(SUMIFS(D_D[INV],D_D[MT],1,D_D[CAT],TA_20,D_D[EP],-1, D_D[LOC],$A36),0)</f>
        <v>1571</v>
      </c>
      <c r="D36" s="39">
        <f>IFERROR(SUMIFS(D_D[ADP],D_D[MT],1,D_D[CAT],D$1,D_D[EP],-1, D_D[LOC],$A36),0)</f>
        <v>249.91</v>
      </c>
      <c r="E36" s="37">
        <f>IFERROR(SUMIFS(D_D[INV],D_D[MT],2,D_D[CAT],TA_21,D_D[EP],-1, D_D[LOC],$A36),0)</f>
        <v>3990</v>
      </c>
      <c r="F36" s="36">
        <f>IFERROR(SUMIFS(D_D[BL],D_D[MT],2,D_D[CAT],TA_21,D_D[EP],-1, D_D[LOC],$A36),0)</f>
        <v>1060</v>
      </c>
      <c r="G36" s="48">
        <f t="shared" si="12"/>
        <v>0.26566416040100249</v>
      </c>
      <c r="H36" s="35">
        <f>IFERROR(SUMIFS(D_D[INV],D_D[MT],2,D_D[CAT],TA_22,D_D[EP],-1, D_D[LOC],$A36),0)</f>
        <v>3050</v>
      </c>
      <c r="I36" s="36">
        <f>IFERROR(SUMIFS(D_D[BL],D_D[MT],2,D_D[CAT],TA_22,D_D[EP],-1, D_D[LOC],$A36),0)</f>
        <v>1531</v>
      </c>
      <c r="J36" s="48">
        <f t="shared" si="13"/>
        <v>0.50196721311475412</v>
      </c>
      <c r="K36" s="41">
        <f>IFERROR(SUMIFS(D_D[INV],D_D[MT],2,D_D[CAT],TA_23,D_D[EP],-1, D_D[LOC],$A36),0)</f>
        <v>1266</v>
      </c>
      <c r="L36" s="42">
        <f>IFERROR(SUMIFS(D_D[BL],D_D[MT],2,D_D[CAT],TA_23,D_D[EP],-1, D_D[LOC],$A36),0)</f>
        <v>1188</v>
      </c>
      <c r="M36" s="48">
        <f t="shared" si="14"/>
        <v>0.93838862559241709</v>
      </c>
      <c r="N36" s="41">
        <f>IFERROR(SUMIFS(D_D[INV],D_D[MT],2,D_D[CAT],TA_24,D_D[EP],-1, D_D[LOC],$A36),0)</f>
        <v>603</v>
      </c>
      <c r="O36" s="42">
        <f>IFERROR(SUMIFS(D_D[BL],D_D[MT],2,D_D[CAT],TA_24,D_D[EP],-1, D_D[LOC],$A36),0)</f>
        <v>403</v>
      </c>
      <c r="P36" s="48">
        <f t="shared" si="15"/>
        <v>0.66832504145936977</v>
      </c>
      <c r="Q36" s="40">
        <f>IFERROR(SUMIFS(D_D[INV],D_D[MT],2,D_D[CAT],TA_25,D_D[EP],-1, D_D[LOC],$A36),0)</f>
        <v>3</v>
      </c>
      <c r="R36" s="40">
        <f>IFERROR(SUMIFS(D_D[INV],D_D[MT],2,D_D[CAT],TA_26,D_D[EP],-1, D_D[LOC],$A36),0)</f>
        <v>179</v>
      </c>
      <c r="S36" s="40">
        <f>IFERROR(SUMIFS(D_D[INV],D_D[MT],7,D_D[CAT],2,D_D[EP],TA_20, D_D[LOC],$A36),0)</f>
        <v>6653</v>
      </c>
      <c r="T36" s="7"/>
    </row>
    <row r="37" spans="1:20" x14ac:dyDescent="0.2">
      <c r="A37" s="24" t="s">
        <v>123</v>
      </c>
      <c r="B37" s="97" t="s">
        <v>50</v>
      </c>
      <c r="C37" s="43">
        <f>IFERROR(SUMIFS(D_D[INV],D_D[MT],1,D_D[CAT],TA_20,D_D[EP],-1, D_D[LOC],$A37),0)</f>
        <v>1111</v>
      </c>
      <c r="D37" s="39">
        <f>IFERROR(SUMIFS(D_D[ADP],D_D[MT],1,D_D[CAT],D$1,D_D[EP],-1, D_D[LOC],$A37),0)</f>
        <v>176.44</v>
      </c>
      <c r="E37" s="37">
        <f>IFERROR(SUMIFS(D_D[INV],D_D[MT],2,D_D[CAT],TA_21,D_D[EP],-1, D_D[LOC],$A37),0)</f>
        <v>6473</v>
      </c>
      <c r="F37" s="36">
        <f>IFERROR(SUMIFS(D_D[BL],D_D[MT],2,D_D[CAT],TA_21,D_D[EP],-1, D_D[LOC],$A37),0)</f>
        <v>1400</v>
      </c>
      <c r="G37" s="48">
        <f t="shared" si="12"/>
        <v>0.21628302178279005</v>
      </c>
      <c r="H37" s="35">
        <f>IFERROR(SUMIFS(D_D[INV],D_D[MT],2,D_D[CAT],TA_22,D_D[EP],-1, D_D[LOC],$A37),0)</f>
        <v>2321</v>
      </c>
      <c r="I37" s="36">
        <f>IFERROR(SUMIFS(D_D[BL],D_D[MT],2,D_D[CAT],TA_22,D_D[EP],-1, D_D[LOC],$A37),0)</f>
        <v>807</v>
      </c>
      <c r="J37" s="48">
        <f t="shared" si="13"/>
        <v>0.34769495906936665</v>
      </c>
      <c r="K37" s="41">
        <f>IFERROR(SUMIFS(D_D[INV],D_D[MT],2,D_D[CAT],TA_23,D_D[EP],-1, D_D[LOC],$A37),0)</f>
        <v>699</v>
      </c>
      <c r="L37" s="42">
        <f>IFERROR(SUMIFS(D_D[BL],D_D[MT],2,D_D[CAT],TA_23,D_D[EP],-1, D_D[LOC],$A37),0)</f>
        <v>591</v>
      </c>
      <c r="M37" s="48">
        <f t="shared" si="14"/>
        <v>0.84549356223175964</v>
      </c>
      <c r="N37" s="41">
        <f>IFERROR(SUMIFS(D_D[INV],D_D[MT],2,D_D[CAT],TA_24,D_D[EP],-1, D_D[LOC],$A37),0)</f>
        <v>885</v>
      </c>
      <c r="O37" s="42">
        <f>IFERROR(SUMIFS(D_D[BL],D_D[MT],2,D_D[CAT],TA_24,D_D[EP],-1, D_D[LOC],$A37),0)</f>
        <v>366</v>
      </c>
      <c r="P37" s="48">
        <f t="shared" si="15"/>
        <v>0.41355932203389828</v>
      </c>
      <c r="Q37" s="40">
        <f>IFERROR(SUMIFS(D_D[INV],D_D[MT],2,D_D[CAT],TA_25,D_D[EP],-1, D_D[LOC],$A37),0)</f>
        <v>2</v>
      </c>
      <c r="R37" s="40">
        <f>IFERROR(SUMIFS(D_D[INV],D_D[MT],2,D_D[CAT],TA_26,D_D[EP],-1, D_D[LOC],$A37),0)</f>
        <v>336</v>
      </c>
      <c r="S37" s="40">
        <f>IFERROR(SUMIFS(D_D[INV],D_D[MT],7,D_D[CAT],2,D_D[EP],TA_20, D_D[LOC],$A37),0)</f>
        <v>7483</v>
      </c>
      <c r="T37" s="7"/>
    </row>
    <row r="38" spans="1:20" x14ac:dyDescent="0.2">
      <c r="A38" s="24" t="s">
        <v>80</v>
      </c>
      <c r="B38" s="97" t="s">
        <v>51</v>
      </c>
      <c r="C38" s="43">
        <f>IFERROR(SUMIFS(D_D[INV],D_D[MT],1,D_D[CAT],TA_20,D_D[EP],-1, D_D[LOC],$A38),0)</f>
        <v>1793</v>
      </c>
      <c r="D38" s="39">
        <f>IFERROR(SUMIFS(D_D[ADP],D_D[MT],1,D_D[CAT],D$1,D_D[EP],-1, D_D[LOC],$A38),0)</f>
        <v>125.24</v>
      </c>
      <c r="E38" s="37">
        <f>IFERROR(SUMIFS(D_D[INV],D_D[MT],2,D_D[CAT],TA_21,D_D[EP],-1, D_D[LOC],$A38),0)</f>
        <v>8646</v>
      </c>
      <c r="F38" s="36">
        <f>IFERROR(SUMIFS(D_D[BL],D_D[MT],2,D_D[CAT],TA_21,D_D[EP],-1, D_D[LOC],$A38),0)</f>
        <v>1800</v>
      </c>
      <c r="G38" s="48">
        <f t="shared" si="12"/>
        <v>0.20818875780707841</v>
      </c>
      <c r="H38" s="35">
        <f>IFERROR(SUMIFS(D_D[INV],D_D[MT],2,D_D[CAT],TA_22,D_D[EP],-1, D_D[LOC],$A38),0)</f>
        <v>7371</v>
      </c>
      <c r="I38" s="36">
        <f>IFERROR(SUMIFS(D_D[BL],D_D[MT],2,D_D[CAT],TA_22,D_D[EP],-1, D_D[LOC],$A38),0)</f>
        <v>1458</v>
      </c>
      <c r="J38" s="48">
        <f t="shared" si="13"/>
        <v>0.19780219780219779</v>
      </c>
      <c r="K38" s="41">
        <f>IFERROR(SUMIFS(D_D[INV],D_D[MT],2,D_D[CAT],TA_23,D_D[EP],-1, D_D[LOC],$A38),0)</f>
        <v>522</v>
      </c>
      <c r="L38" s="42">
        <f>IFERROR(SUMIFS(D_D[BL],D_D[MT],2,D_D[CAT],TA_23,D_D[EP],-1, D_D[LOC],$A38),0)</f>
        <v>187</v>
      </c>
      <c r="M38" s="48">
        <f t="shared" si="14"/>
        <v>0.35823754789272033</v>
      </c>
      <c r="N38" s="41">
        <f>IFERROR(SUMIFS(D_D[INV],D_D[MT],2,D_D[CAT],TA_24,D_D[EP],-1, D_D[LOC],$A38),0)</f>
        <v>937</v>
      </c>
      <c r="O38" s="42">
        <f>IFERROR(SUMIFS(D_D[BL],D_D[MT],2,D_D[CAT],TA_24,D_D[EP],-1, D_D[LOC],$A38),0)</f>
        <v>582</v>
      </c>
      <c r="P38" s="48">
        <f t="shared" si="15"/>
        <v>0.62113127001067236</v>
      </c>
      <c r="Q38" s="40">
        <f>IFERROR(SUMIFS(D_D[INV],D_D[MT],2,D_D[CAT],TA_25,D_D[EP],-1, D_D[LOC],$A38),0)</f>
        <v>0</v>
      </c>
      <c r="R38" s="40">
        <f>IFERROR(SUMIFS(D_D[INV],D_D[MT],2,D_D[CAT],TA_26,D_D[EP],-1, D_D[LOC],$A38),0)</f>
        <v>211</v>
      </c>
      <c r="S38" s="40">
        <f>IFERROR(SUMIFS(D_D[INV],D_D[MT],7,D_D[CAT],2,D_D[EP],TA_20, D_D[LOC],$A38),0)</f>
        <v>1725</v>
      </c>
      <c r="T38" s="7"/>
    </row>
    <row r="39" spans="1:20" x14ac:dyDescent="0.2">
      <c r="A39" s="24" t="s">
        <v>122</v>
      </c>
      <c r="B39" s="97" t="s">
        <v>52</v>
      </c>
      <c r="C39" s="43">
        <f>IFERROR(SUMIFS(D_D[INV],D_D[MT],1,D_D[CAT],TA_20,D_D[EP],-1, D_D[LOC],$A39),0)</f>
        <v>434</v>
      </c>
      <c r="D39" s="39">
        <f>IFERROR(SUMIFS(D_D[ADP],D_D[MT],1,D_D[CAT],D$1,D_D[EP],-1, D_D[LOC],$A39),0)</f>
        <v>95.85</v>
      </c>
      <c r="E39" s="37">
        <f>IFERROR(SUMIFS(D_D[INV],D_D[MT],2,D_D[CAT],TA_21,D_D[EP],-1, D_D[LOC],$A39),0)</f>
        <v>4125</v>
      </c>
      <c r="F39" s="36">
        <f>IFERROR(SUMIFS(D_D[BL],D_D[MT],2,D_D[CAT],TA_21,D_D[EP],-1, D_D[LOC],$A39),0)</f>
        <v>1066</v>
      </c>
      <c r="G39" s="48">
        <f t="shared" si="12"/>
        <v>0.25842424242424245</v>
      </c>
      <c r="H39" s="35">
        <f>IFERROR(SUMIFS(D_D[INV],D_D[MT],2,D_D[CAT],TA_22,D_D[EP],-1, D_D[LOC],$A39),0)</f>
        <v>1331</v>
      </c>
      <c r="I39" s="36">
        <f>IFERROR(SUMIFS(D_D[BL],D_D[MT],2,D_D[CAT],TA_22,D_D[EP],-1, D_D[LOC],$A39),0)</f>
        <v>586</v>
      </c>
      <c r="J39" s="48">
        <f t="shared" si="13"/>
        <v>0.44027047332832459</v>
      </c>
      <c r="K39" s="41">
        <f>IFERROR(SUMIFS(D_D[INV],D_D[MT],2,D_D[CAT],TA_23,D_D[EP],-1, D_D[LOC],$A39),0)</f>
        <v>38</v>
      </c>
      <c r="L39" s="42">
        <f>IFERROR(SUMIFS(D_D[BL],D_D[MT],2,D_D[CAT],TA_23,D_D[EP],-1, D_D[LOC],$A39),0)</f>
        <v>13</v>
      </c>
      <c r="M39" s="48">
        <f t="shared" si="14"/>
        <v>0.34210526315789475</v>
      </c>
      <c r="N39" s="41">
        <f>IFERROR(SUMIFS(D_D[INV],D_D[MT],2,D_D[CAT],TA_24,D_D[EP],-1, D_D[LOC],$A39),0)</f>
        <v>450</v>
      </c>
      <c r="O39" s="42">
        <f>IFERROR(SUMIFS(D_D[BL],D_D[MT],2,D_D[CAT],TA_24,D_D[EP],-1, D_D[LOC],$A39),0)</f>
        <v>317</v>
      </c>
      <c r="P39" s="48">
        <f t="shared" si="15"/>
        <v>0.70444444444444443</v>
      </c>
      <c r="Q39" s="40">
        <f>IFERROR(SUMIFS(D_D[INV],D_D[MT],2,D_D[CAT],TA_25,D_D[EP],-1, D_D[LOC],$A39),0)</f>
        <v>1</v>
      </c>
      <c r="R39" s="40">
        <f>IFERROR(SUMIFS(D_D[INV],D_D[MT],2,D_D[CAT],TA_26,D_D[EP],-1, D_D[LOC],$A39),0)</f>
        <v>62</v>
      </c>
      <c r="S39" s="40">
        <f>IFERROR(SUMIFS(D_D[INV],D_D[MT],7,D_D[CAT],2,D_D[EP],TA_20, D_D[LOC],$A39),0)</f>
        <v>4963</v>
      </c>
      <c r="T39" s="7"/>
    </row>
    <row r="40" spans="1:20" x14ac:dyDescent="0.2">
      <c r="A40" s="24" t="s">
        <v>89</v>
      </c>
      <c r="B40" s="97" t="s">
        <v>62</v>
      </c>
      <c r="C40" s="43">
        <f>IFERROR(SUMIFS(D_D[INV],D_D[MT],1,D_D[CAT],TA_20,D_D[EP],-1, D_D[LOC],$A40),0)</f>
        <v>1353</v>
      </c>
      <c r="D40" s="39">
        <f>IFERROR(SUMIFS(D_D[ADP],D_D[MT],1,D_D[CAT],D$1,D_D[EP],-1, D_D[LOC],$A40),0)</f>
        <v>102.32</v>
      </c>
      <c r="E40" s="37">
        <f>IFERROR(SUMIFS(D_D[INV],D_D[MT],2,D_D[CAT],TA_21,D_D[EP],-1, D_D[LOC],$A40),0)</f>
        <v>12919</v>
      </c>
      <c r="F40" s="36">
        <f>IFERROR(SUMIFS(D_D[BL],D_D[MT],2,D_D[CAT],TA_21,D_D[EP],-1, D_D[LOC],$A40),0)</f>
        <v>2690</v>
      </c>
      <c r="G40" s="48">
        <f t="shared" si="12"/>
        <v>0.20822045049926466</v>
      </c>
      <c r="H40" s="35">
        <f>IFERROR(SUMIFS(D_D[INV],D_D[MT],2,D_D[CAT],TA_22,D_D[EP],-1, D_D[LOC],$A40),0)</f>
        <v>3625</v>
      </c>
      <c r="I40" s="36">
        <f>IFERROR(SUMIFS(D_D[BL],D_D[MT],2,D_D[CAT],TA_22,D_D[EP],-1, D_D[LOC],$A40),0)</f>
        <v>1165</v>
      </c>
      <c r="J40" s="48">
        <f t="shared" si="13"/>
        <v>0.32137931034482758</v>
      </c>
      <c r="K40" s="41">
        <f>IFERROR(SUMIFS(D_D[INV],D_D[MT],2,D_D[CAT],TA_23,D_D[EP],-1, D_D[LOC],$A40),0)</f>
        <v>32</v>
      </c>
      <c r="L40" s="42">
        <f>IFERROR(SUMIFS(D_D[BL],D_D[MT],2,D_D[CAT],TA_23,D_D[EP],-1, D_D[LOC],$A40),0)</f>
        <v>17</v>
      </c>
      <c r="M40" s="48">
        <f t="shared" si="14"/>
        <v>0.53125</v>
      </c>
      <c r="N40" s="41">
        <f>IFERROR(SUMIFS(D_D[INV],D_D[MT],2,D_D[CAT],TA_24,D_D[EP],-1, D_D[LOC],$A40),0)</f>
        <v>1478</v>
      </c>
      <c r="O40" s="42">
        <f>IFERROR(SUMIFS(D_D[BL],D_D[MT],2,D_D[CAT],TA_24,D_D[EP],-1, D_D[LOC],$A40),0)</f>
        <v>857</v>
      </c>
      <c r="P40" s="48">
        <f t="shared" si="15"/>
        <v>0.57983761840324766</v>
      </c>
      <c r="Q40" s="40">
        <f>IFERROR(SUMIFS(D_D[INV],D_D[MT],2,D_D[CAT],TA_25,D_D[EP],-1, D_D[LOC],$A40),0)</f>
        <v>0</v>
      </c>
      <c r="R40" s="40">
        <f>IFERROR(SUMIFS(D_D[INV],D_D[MT],2,D_D[CAT],TA_26,D_D[EP],-1, D_D[LOC],$A40),0)</f>
        <v>26</v>
      </c>
      <c r="S40" s="40">
        <f>IFERROR(SUMIFS(D_D[INV],D_D[MT],7,D_D[CAT],2,D_D[EP],TA_20, D_D[LOC],$A40),0)</f>
        <v>9309</v>
      </c>
      <c r="T40" s="7"/>
    </row>
    <row r="41" spans="1:20" x14ac:dyDescent="0.2">
      <c r="A41" s="24" t="s">
        <v>148</v>
      </c>
      <c r="B41" s="97" t="s">
        <v>65</v>
      </c>
      <c r="C41" s="43">
        <f>IFERROR(SUMIFS(D_D[INV],D_D[MT],1,D_D[CAT],TA_20,D_D[EP],-1, D_D[LOC],$A41),0)</f>
        <v>695</v>
      </c>
      <c r="D41" s="39">
        <f>IFERROR(SUMIFS(D_D[ADP],D_D[MT],1,D_D[CAT],D$1,D_D[EP],-1, D_D[LOC],$A41),0)</f>
        <v>139.02000000000001</v>
      </c>
      <c r="E41" s="37">
        <f>IFERROR(SUMIFS(D_D[INV],D_D[MT],2,D_D[CAT],TA_21,D_D[EP],-1, D_D[LOC],$A41),0)</f>
        <v>3617</v>
      </c>
      <c r="F41" s="36">
        <f>IFERROR(SUMIFS(D_D[BL],D_D[MT],2,D_D[CAT],TA_21,D_D[EP],-1, D_D[LOC],$A41),0)</f>
        <v>1340</v>
      </c>
      <c r="G41" s="48">
        <f t="shared" si="12"/>
        <v>0.37047276748686758</v>
      </c>
      <c r="H41" s="35">
        <f>IFERROR(SUMIFS(D_D[INV],D_D[MT],2,D_D[CAT],TA_22,D_D[EP],-1, D_D[LOC],$A41),0)</f>
        <v>1789</v>
      </c>
      <c r="I41" s="36">
        <f>IFERROR(SUMIFS(D_D[BL],D_D[MT],2,D_D[CAT],TA_22,D_D[EP],-1, D_D[LOC],$A41),0)</f>
        <v>989</v>
      </c>
      <c r="J41" s="48">
        <f t="shared" si="13"/>
        <v>0.55282280603689216</v>
      </c>
      <c r="K41" s="41">
        <f>IFERROR(SUMIFS(D_D[INV],D_D[MT],2,D_D[CAT],TA_23,D_D[EP],-1, D_D[LOC],$A41),0)</f>
        <v>215</v>
      </c>
      <c r="L41" s="42">
        <f>IFERROR(SUMIFS(D_D[BL],D_D[MT],2,D_D[CAT],TA_23,D_D[EP],-1, D_D[LOC],$A41),0)</f>
        <v>168</v>
      </c>
      <c r="M41" s="48">
        <f t="shared" si="14"/>
        <v>0.78139534883720929</v>
      </c>
      <c r="N41" s="41">
        <f>IFERROR(SUMIFS(D_D[INV],D_D[MT],2,D_D[CAT],TA_24,D_D[EP],-1, D_D[LOC],$A41),0)</f>
        <v>411</v>
      </c>
      <c r="O41" s="42">
        <f>IFERROR(SUMIFS(D_D[BL],D_D[MT],2,D_D[CAT],TA_24,D_D[EP],-1, D_D[LOC],$A41),0)</f>
        <v>313</v>
      </c>
      <c r="P41" s="48">
        <f t="shared" si="15"/>
        <v>0.76155717761557173</v>
      </c>
      <c r="Q41" s="40">
        <f>IFERROR(SUMIFS(D_D[INV],D_D[MT],2,D_D[CAT],TA_25,D_D[EP],-1, D_D[LOC],$A41),0)</f>
        <v>0</v>
      </c>
      <c r="R41" s="40">
        <f>IFERROR(SUMIFS(D_D[INV],D_D[MT],2,D_D[CAT],TA_26,D_D[EP],-1, D_D[LOC],$A41),0)</f>
        <v>6</v>
      </c>
      <c r="S41" s="40">
        <f>IFERROR(SUMIFS(D_D[INV],D_D[MT],7,D_D[CAT],2,D_D[EP],TA_20, D_D[LOC],$A41),0)</f>
        <v>4751</v>
      </c>
      <c r="T41" s="7"/>
    </row>
    <row r="42" spans="1:20" x14ac:dyDescent="0.2">
      <c r="A42" s="24" t="s">
        <v>119</v>
      </c>
      <c r="B42" s="97" t="s">
        <v>70</v>
      </c>
      <c r="C42" s="43">
        <f>IFERROR(SUMIFS(D_D[INV],D_D[MT],1,D_D[CAT],TA_20,D_D[EP],-1, D_D[LOC],$A42),0)</f>
        <v>1536</v>
      </c>
      <c r="D42" s="39">
        <f>IFERROR(SUMIFS(D_D[ADP],D_D[MT],1,D_D[CAT],D$1,D_D[EP],-1, D_D[LOC],$A42),0)</f>
        <v>117.42</v>
      </c>
      <c r="E42" s="37">
        <f>IFERROR(SUMIFS(D_D[INV],D_D[MT],2,D_D[CAT],TA_21,D_D[EP],-1, D_D[LOC],$A42),0)</f>
        <v>18624</v>
      </c>
      <c r="F42" s="36">
        <f>IFERROR(SUMIFS(D_D[BL],D_D[MT],2,D_D[CAT],TA_21,D_D[EP],-1, D_D[LOC],$A42),0)</f>
        <v>4297</v>
      </c>
      <c r="G42" s="48">
        <f t="shared" si="12"/>
        <v>0.23072379725085912</v>
      </c>
      <c r="H42" s="35">
        <f>IFERROR(SUMIFS(D_D[INV],D_D[MT],2,D_D[CAT],TA_22,D_D[EP],-1, D_D[LOC],$A42),0)</f>
        <v>5617</v>
      </c>
      <c r="I42" s="36">
        <f>IFERROR(SUMIFS(D_D[BL],D_D[MT],2,D_D[CAT],TA_22,D_D[EP],-1, D_D[LOC],$A42),0)</f>
        <v>2458</v>
      </c>
      <c r="J42" s="48">
        <f t="shared" si="13"/>
        <v>0.4376001424247819</v>
      </c>
      <c r="K42" s="41">
        <f>IFERROR(SUMIFS(D_D[INV],D_D[MT],2,D_D[CAT],TA_23,D_D[EP],-1, D_D[LOC],$A42),0)</f>
        <v>1812</v>
      </c>
      <c r="L42" s="42">
        <f>IFERROR(SUMIFS(D_D[BL],D_D[MT],2,D_D[CAT],TA_23,D_D[EP],-1, D_D[LOC],$A42),0)</f>
        <v>328</v>
      </c>
      <c r="M42" s="48">
        <f t="shared" si="14"/>
        <v>0.18101545253863136</v>
      </c>
      <c r="N42" s="41">
        <f>IFERROR(SUMIFS(D_D[INV],D_D[MT],2,D_D[CAT],TA_24,D_D[EP],-1, D_D[LOC],$A42),0)</f>
        <v>2893</v>
      </c>
      <c r="O42" s="42">
        <f>IFERROR(SUMIFS(D_D[BL],D_D[MT],2,D_D[CAT],TA_24,D_D[EP],-1, D_D[LOC],$A42),0)</f>
        <v>1542</v>
      </c>
      <c r="P42" s="48">
        <f t="shared" si="15"/>
        <v>0.53301071552022128</v>
      </c>
      <c r="Q42" s="40">
        <f>IFERROR(SUMIFS(D_D[INV],D_D[MT],2,D_D[CAT],TA_25,D_D[EP],-1, D_D[LOC],$A42),0)</f>
        <v>227</v>
      </c>
      <c r="R42" s="40">
        <f>IFERROR(SUMIFS(D_D[INV],D_D[MT],2,D_D[CAT],TA_26,D_D[EP],-1, D_D[LOC],$A42),0)</f>
        <v>298</v>
      </c>
      <c r="S42" s="40">
        <f>IFERROR(SUMIFS(D_D[INV],D_D[MT],7,D_D[CAT],2,D_D[EP],TA_20, D_D[LOC],$A42),0)</f>
        <v>826</v>
      </c>
      <c r="T42" s="7"/>
    </row>
    <row r="43" spans="1:20" x14ac:dyDescent="0.2">
      <c r="A43" s="24" t="s">
        <v>120</v>
      </c>
      <c r="B43" s="97" t="s">
        <v>76</v>
      </c>
      <c r="C43" s="43">
        <f>IFERROR(SUMIFS(D_D[INV],D_D[MT],1,D_D[CAT],TA_20,D_D[EP],-1, D_D[LOC],$A43),0)</f>
        <v>2212</v>
      </c>
      <c r="D43" s="39">
        <f>IFERROR(SUMIFS(D_D[ADP],D_D[MT],1,D_D[CAT],D$1,D_D[EP],-1, D_D[LOC],$A43),0)</f>
        <v>98.19</v>
      </c>
      <c r="E43" s="37">
        <f>IFERROR(SUMIFS(D_D[INV],D_D[MT],2,D_D[CAT],TA_21,D_D[EP],-1, D_D[LOC],$A43),0)</f>
        <v>15101</v>
      </c>
      <c r="F43" s="36">
        <f>IFERROR(SUMIFS(D_D[BL],D_D[MT],2,D_D[CAT],TA_21,D_D[EP],-1, D_D[LOC],$A43),0)</f>
        <v>3713</v>
      </c>
      <c r="G43" s="48">
        <f t="shared" si="12"/>
        <v>0.24587775643997087</v>
      </c>
      <c r="H43" s="35">
        <f>IFERROR(SUMIFS(D_D[INV],D_D[MT],2,D_D[CAT],TA_22,D_D[EP],-1, D_D[LOC],$A43),0)</f>
        <v>8125</v>
      </c>
      <c r="I43" s="36">
        <f>IFERROR(SUMIFS(D_D[BL],D_D[MT],2,D_D[CAT],TA_22,D_D[EP],-1, D_D[LOC],$A43),0)</f>
        <v>1857</v>
      </c>
      <c r="J43" s="48">
        <f t="shared" si="13"/>
        <v>0.22855384615384616</v>
      </c>
      <c r="K43" s="41">
        <f>IFERROR(SUMIFS(D_D[INV],D_D[MT],2,D_D[CAT],TA_23,D_D[EP],-1, D_D[LOC],$A43),0)</f>
        <v>627</v>
      </c>
      <c r="L43" s="42">
        <f>IFERROR(SUMIFS(D_D[BL],D_D[MT],2,D_D[CAT],TA_23,D_D[EP],-1, D_D[LOC],$A43),0)</f>
        <v>263</v>
      </c>
      <c r="M43" s="48">
        <f t="shared" si="14"/>
        <v>0.41945773524720892</v>
      </c>
      <c r="N43" s="41">
        <f>IFERROR(SUMIFS(D_D[INV],D_D[MT],2,D_D[CAT],TA_24,D_D[EP],-1, D_D[LOC],$A43),0)</f>
        <v>2047</v>
      </c>
      <c r="O43" s="42">
        <f>IFERROR(SUMIFS(D_D[BL],D_D[MT],2,D_D[CAT],TA_24,D_D[EP],-1, D_D[LOC],$A43),0)</f>
        <v>1253</v>
      </c>
      <c r="P43" s="48">
        <f t="shared" si="15"/>
        <v>0.61211529066927206</v>
      </c>
      <c r="Q43" s="40">
        <f>IFERROR(SUMIFS(D_D[INV],D_D[MT],2,D_D[CAT],TA_25,D_D[EP],-1, D_D[LOC],$A43),0)</f>
        <v>0</v>
      </c>
      <c r="R43" s="40">
        <f>IFERROR(SUMIFS(D_D[INV],D_D[MT],2,D_D[CAT],TA_26,D_D[EP],-1, D_D[LOC],$A43),0)</f>
        <v>16</v>
      </c>
      <c r="S43" s="40">
        <f>IFERROR(SUMIFS(D_D[INV],D_D[MT],7,D_D[CAT],2,D_D[EP],TA_20, D_D[LOC],$A43),0)</f>
        <v>2311</v>
      </c>
      <c r="T43" s="7"/>
    </row>
    <row r="44" spans="1:20" x14ac:dyDescent="0.2">
      <c r="A44" s="9">
        <v>384</v>
      </c>
      <c r="B44" s="228" t="s">
        <v>295</v>
      </c>
      <c r="C44" s="44">
        <f>IFERROR(SUMIFS(D_D[INV],D_D[MT],1,D_D[CAT],TA_20,D_D[EP],-1, D_D[LOC],$A44),0)</f>
        <v>14714</v>
      </c>
      <c r="D44" s="38">
        <f>IFERROR(SUMIFS(D_D[ADP],D_D[MT],1,D_D[CAT],D$1,D_D[EP],-1, D_D[LOC],$A44),0)</f>
        <v>95.91</v>
      </c>
      <c r="E44" s="45">
        <f>IFERROR(SUMIFS(D_D[INV],D_D[MT],2,D_D[CAT],TA_21,D_D[EP],-1, D_D[LOC],$A44),0)</f>
        <v>72067</v>
      </c>
      <c r="F44" s="49">
        <f>IFERROR(SUMIFS(D_D[BL],D_D[MT],2,D_D[CAT],TA_21,D_D[EP],-1, D_D[LOC],$A44),0)</f>
        <v>15659</v>
      </c>
      <c r="G44" s="46">
        <f t="shared" si="12"/>
        <v>0.21728391635561353</v>
      </c>
      <c r="H44" s="49">
        <f>IFERROR(SUMIFS(D_D[INV],D_D[MT],2,D_D[CAT],TA_22,D_D[EP],-1, D_D[LOC],$A44),0)</f>
        <v>48674</v>
      </c>
      <c r="I44" s="49">
        <f>IFERROR(SUMIFS(D_D[BL],D_D[MT],2,D_D[CAT],TA_22,D_D[EP],-1, D_D[LOC],$A44),0)</f>
        <v>12711</v>
      </c>
      <c r="J44" s="46">
        <f t="shared" si="13"/>
        <v>0.26114558080289274</v>
      </c>
      <c r="K44" s="44">
        <f>IFERROR(SUMIFS(D_D[INV],D_D[MT],2,D_D[CAT],TA_23,D_D[EP],-1, D_D[LOC],$A44),0)</f>
        <v>2427</v>
      </c>
      <c r="L44" s="44">
        <f>IFERROR(SUMIFS(D_D[BL],D_D[MT],2,D_D[CAT],TA_23,D_D[EP],-1, D_D[LOC],$A44),0)</f>
        <v>1232</v>
      </c>
      <c r="M44" s="46">
        <f t="shared" si="14"/>
        <v>0.50762257931602806</v>
      </c>
      <c r="N44" s="44">
        <f>IFERROR(SUMIFS(D_D[INV],D_D[MT],2,D_D[CAT],TA_24,D_D[EP],-1, D_D[LOC],$A44),0)</f>
        <v>10971</v>
      </c>
      <c r="O44" s="44">
        <f>IFERROR(SUMIFS(D_D[BL],D_D[MT],2,D_D[CAT],TA_24,D_D[EP],-1, D_D[LOC],$A44),0)</f>
        <v>6701</v>
      </c>
      <c r="P44" s="46">
        <f t="shared" si="15"/>
        <v>0.61079208823261322</v>
      </c>
      <c r="Q44" s="44">
        <f>IFERROR(SUMIFS(D_D[INV],D_D[MT],2,D_D[CAT],TA_25,D_D[EP],-1, D_D[LOC],$A44),0)</f>
        <v>6653</v>
      </c>
      <c r="R44" s="47">
        <f>IFERROR(SUMIFS(D_D[INV],D_D[MT],2,D_D[CAT],TA_26,D_D[EP],-1, D_D[LOC],$A44),0)</f>
        <v>317</v>
      </c>
      <c r="S44" s="47">
        <f>IFERROR(SUMIFS(D_D[INV],D_D[MT],7,D_D[CAT],2,D_D[EP],TA_20, D_D[LOC],$A44),0)</f>
        <v>42037</v>
      </c>
      <c r="T44" s="230"/>
    </row>
    <row r="45" spans="1:20" x14ac:dyDescent="0.2">
      <c r="A45" s="9" t="s">
        <v>361</v>
      </c>
      <c r="B45" s="97" t="s">
        <v>872</v>
      </c>
      <c r="C45" s="50">
        <f>IFERROR(SUMIFS(D_D[INV],D_D[MT],1,D_D[CAT],TA_20,D_D[EP],-1, D_D[LOC],$A45),0)</f>
        <v>209</v>
      </c>
      <c r="D45" s="51">
        <f>IFERROR(SUMIFS(D_D[ADP],D_D[MT],1,D_D[CAT],D$1,D_D[EP],-1, D_D[LOC],$A45),0)</f>
        <v>71.72</v>
      </c>
      <c r="E45" s="52">
        <f>IFERROR(SUMIFS(D_D[INV],D_D[MT],2,D_D[CAT],TA_21,D_D[EP],-1, D_D[LOC],$A45),0)</f>
        <v>1102</v>
      </c>
      <c r="F45" s="53">
        <f>IFERROR(SUMIFS(D_D[BL],D_D[MT],2,D_D[CAT],TA_21,D_D[EP],-1, D_D[LOC],$A45),0)</f>
        <v>209</v>
      </c>
      <c r="G45" s="54">
        <f t="shared" si="12"/>
        <v>0.18965517241379309</v>
      </c>
      <c r="H45" s="55">
        <f>IFERROR(SUMIFS(D_D[INV],D_D[MT],2,D_D[CAT],TA_22,D_D[EP],-1, D_D[LOC],$A45),0)</f>
        <v>567</v>
      </c>
      <c r="I45" s="53">
        <f>IFERROR(SUMIFS(D_D[BL],D_D[MT],2,D_D[CAT],TA_22,D_D[EP],-1, D_D[LOC],$A45),0)</f>
        <v>282</v>
      </c>
      <c r="J45" s="54">
        <f t="shared" si="13"/>
        <v>0.49735449735449733</v>
      </c>
      <c r="K45" s="56">
        <f>IFERROR(SUMIFS(D_D[INV],D_D[MT],2,D_D[CAT],TA_23,D_D[EP],-1, D_D[LOC],$A45),0)</f>
        <v>0</v>
      </c>
      <c r="L45" s="57">
        <f>IFERROR(SUMIFS(D_D[BL],D_D[MT],2,D_D[CAT],TA_23,D_D[EP],-1, D_D[LOC],$A45),0)</f>
        <v>0</v>
      </c>
      <c r="M45" s="54" t="str">
        <f t="shared" si="14"/>
        <v>0%</v>
      </c>
      <c r="N45" s="56">
        <f>IFERROR(SUMIFS(D_D[INV],D_D[MT],2,D_D[CAT],TA_24,D_D[EP],-1, D_D[LOC],$A45),0)</f>
        <v>119</v>
      </c>
      <c r="O45" s="57">
        <f>IFERROR(SUMIFS(D_D[BL],D_D[MT],2,D_D[CAT],TA_24,D_D[EP],-1, D_D[LOC],$A45),0)</f>
        <v>73</v>
      </c>
      <c r="P45" s="54">
        <f t="shared" si="15"/>
        <v>0.61344537815126055</v>
      </c>
      <c r="Q45" s="58">
        <f>IFERROR(SUMIFS(D_D[INV],D_D[MT],2,D_D[CAT],TA_25,D_D[EP],-1, D_D[LOC],$A45),0)</f>
        <v>0</v>
      </c>
      <c r="R45" s="58">
        <f>IFERROR(SUMIFS(D_D[INV],D_D[MT],2,D_D[CAT],TA_26,D_D[EP],-1, D_D[LOC],$A45),0)</f>
        <v>1</v>
      </c>
      <c r="S45" s="40">
        <f>IFERROR(SUMIFS(D_D[INV],D_D[MT],7,D_D[CAT],2,D_D[EP],TA_20, D_D[LOC],$A45),0)</f>
        <v>851</v>
      </c>
      <c r="T45" s="230"/>
    </row>
    <row r="46" spans="1:20" x14ac:dyDescent="0.2">
      <c r="A46" s="9" t="s">
        <v>135</v>
      </c>
      <c r="B46" s="97" t="s">
        <v>33</v>
      </c>
      <c r="C46" s="50">
        <f>IFERROR(SUMIFS(D_D[INV],D_D[MT],1,D_D[CAT],TA_20,D_D[EP],-1, D_D[LOC],$A46),0)</f>
        <v>385</v>
      </c>
      <c r="D46" s="51">
        <f>IFERROR(SUMIFS(D_D[ADP],D_D[MT],1,D_D[CAT],D$1,D_D[EP],-1, D_D[LOC],$A46),0)</f>
        <v>115.84</v>
      </c>
      <c r="E46" s="52">
        <f>IFERROR(SUMIFS(D_D[INV],D_D[MT],2,D_D[CAT],TA_21,D_D[EP],-1, D_D[LOC],$A46),0)</f>
        <v>4482</v>
      </c>
      <c r="F46" s="53">
        <f>IFERROR(SUMIFS(D_D[BL],D_D[MT],2,D_D[CAT],TA_21,D_D[EP],-1, D_D[LOC],$A46),0)</f>
        <v>1394</v>
      </c>
      <c r="G46" s="54">
        <f t="shared" si="12"/>
        <v>0.31102186523873271</v>
      </c>
      <c r="H46" s="55">
        <f>IFERROR(SUMIFS(D_D[INV],D_D[MT],2,D_D[CAT],TA_22,D_D[EP],-1, D_D[LOC],$A46),0)</f>
        <v>1756</v>
      </c>
      <c r="I46" s="53">
        <f>IFERROR(SUMIFS(D_D[BL],D_D[MT],2,D_D[CAT],TA_22,D_D[EP],-1, D_D[LOC],$A46),0)</f>
        <v>820</v>
      </c>
      <c r="J46" s="54">
        <f t="shared" si="13"/>
        <v>0.46697038724373574</v>
      </c>
      <c r="K46" s="56">
        <f>IFERROR(SUMIFS(D_D[INV],D_D[MT],2,D_D[CAT],TA_23,D_D[EP],-1, D_D[LOC],$A46),0)</f>
        <v>547</v>
      </c>
      <c r="L46" s="57">
        <f>IFERROR(SUMIFS(D_D[BL],D_D[MT],2,D_D[CAT],TA_23,D_D[EP],-1, D_D[LOC],$A46),0)</f>
        <v>404</v>
      </c>
      <c r="M46" s="54">
        <f t="shared" si="14"/>
        <v>0.73857404021937845</v>
      </c>
      <c r="N46" s="56">
        <f>IFERROR(SUMIFS(D_D[INV],D_D[MT],2,D_D[CAT],TA_24,D_D[EP],-1, D_D[LOC],$A46),0)</f>
        <v>496</v>
      </c>
      <c r="O46" s="57">
        <f>IFERROR(SUMIFS(D_D[BL],D_D[MT],2,D_D[CAT],TA_24,D_D[EP],-1, D_D[LOC],$A46),0)</f>
        <v>292</v>
      </c>
      <c r="P46" s="54">
        <f t="shared" si="15"/>
        <v>0.58870967741935487</v>
      </c>
      <c r="Q46" s="58">
        <f>IFERROR(SUMIFS(D_D[INV],D_D[MT],2,D_D[CAT],TA_25,D_D[EP],-1, D_D[LOC],$A46),0)</f>
        <v>0</v>
      </c>
      <c r="R46" s="58">
        <f>IFERROR(SUMIFS(D_D[INV],D_D[MT],2,D_D[CAT],TA_26,D_D[EP],-1, D_D[LOC],$A46),0)</f>
        <v>11</v>
      </c>
      <c r="S46" s="40">
        <f>IFERROR(SUMIFS(D_D[INV],D_D[MT],7,D_D[CAT],2,D_D[EP],TA_20, D_D[LOC],$A46),0)</f>
        <v>1344</v>
      </c>
      <c r="T46" s="230"/>
    </row>
    <row r="47" spans="1:20" x14ac:dyDescent="0.2">
      <c r="A47" s="9" t="s">
        <v>132</v>
      </c>
      <c r="B47" s="97" t="s">
        <v>34</v>
      </c>
      <c r="C47" s="50">
        <f>IFERROR(SUMIFS(D_D[INV],D_D[MT],1,D_D[CAT],TA_20,D_D[EP],-1, D_D[LOC],$A47),0)</f>
        <v>164</v>
      </c>
      <c r="D47" s="51">
        <f>IFERROR(SUMIFS(D_D[ADP],D_D[MT],1,D_D[CAT],D$1,D_D[EP],-1, D_D[LOC],$A47),0)</f>
        <v>88.98</v>
      </c>
      <c r="E47" s="52">
        <f>IFERROR(SUMIFS(D_D[INV],D_D[MT],2,D_D[CAT],TA_21,D_D[EP],-1, D_D[LOC],$A47),0)</f>
        <v>970</v>
      </c>
      <c r="F47" s="53">
        <f>IFERROR(SUMIFS(D_D[BL],D_D[MT],2,D_D[CAT],TA_21,D_D[EP],-1, D_D[LOC],$A47),0)</f>
        <v>304</v>
      </c>
      <c r="G47" s="54">
        <f t="shared" si="4"/>
        <v>0.3134020618556701</v>
      </c>
      <c r="H47" s="55">
        <f>IFERROR(SUMIFS(D_D[INV],D_D[MT],2,D_D[CAT],TA_22,D_D[EP],-1, D_D[LOC],$A47),0)</f>
        <v>827</v>
      </c>
      <c r="I47" s="53">
        <f>IFERROR(SUMIFS(D_D[BL],D_D[MT],2,D_D[CAT],TA_22,D_D[EP],-1, D_D[LOC],$A47),0)</f>
        <v>429</v>
      </c>
      <c r="J47" s="54">
        <f t="shared" si="5"/>
        <v>0.51874244256348245</v>
      </c>
      <c r="K47" s="56">
        <f>IFERROR(SUMIFS(D_D[INV],D_D[MT],2,D_D[CAT],TA_23,D_D[EP],-1, D_D[LOC],$A47),0)</f>
        <v>15</v>
      </c>
      <c r="L47" s="57">
        <f>IFERROR(SUMIFS(D_D[BL],D_D[MT],2,D_D[CAT],TA_23,D_D[EP],-1, D_D[LOC],$A47),0)</f>
        <v>9</v>
      </c>
      <c r="M47" s="54">
        <f t="shared" si="6"/>
        <v>0.6</v>
      </c>
      <c r="N47" s="56">
        <f>IFERROR(SUMIFS(D_D[INV],D_D[MT],2,D_D[CAT],TA_24,D_D[EP],-1, D_D[LOC],$A47),0)</f>
        <v>396</v>
      </c>
      <c r="O47" s="57">
        <f>IFERROR(SUMIFS(D_D[BL],D_D[MT],2,D_D[CAT],TA_24,D_D[EP],-1, D_D[LOC],$A47),0)</f>
        <v>210</v>
      </c>
      <c r="P47" s="54">
        <f t="shared" si="7"/>
        <v>0.53030303030303028</v>
      </c>
      <c r="Q47" s="58">
        <f>IFERROR(SUMIFS(D_D[INV],D_D[MT],2,D_D[CAT],TA_25,D_D[EP],-1, D_D[LOC],$A47),0)</f>
        <v>0</v>
      </c>
      <c r="R47" s="58">
        <f>IFERROR(SUMIFS(D_D[INV],D_D[MT],2,D_D[CAT],TA_26,D_D[EP],-1, D_D[LOC],$A47),0)</f>
        <v>14</v>
      </c>
      <c r="S47" s="40">
        <f>IFERROR(SUMIFS(D_D[INV],D_D[MT],7,D_D[CAT],2,D_D[EP],TA_20, D_D[LOC],$A47),0)</f>
        <v>2884</v>
      </c>
      <c r="T47" s="230"/>
    </row>
    <row r="48" spans="1:20" x14ac:dyDescent="0.2">
      <c r="A48" s="9" t="s">
        <v>155</v>
      </c>
      <c r="B48" s="97" t="s">
        <v>36</v>
      </c>
      <c r="C48" s="50">
        <f>IFERROR(SUMIFS(D_D[INV],D_D[MT],1,D_D[CAT],TA_20,D_D[EP],-1, D_D[LOC],$A48),0)</f>
        <v>179</v>
      </c>
      <c r="D48" s="51">
        <f>IFERROR(SUMIFS(D_D[ADP],D_D[MT],1,D_D[CAT],D$1,D_D[EP],-1, D_D[LOC],$A48),0)</f>
        <v>90.65</v>
      </c>
      <c r="E48" s="52">
        <f>IFERROR(SUMIFS(D_D[INV],D_D[MT],2,D_D[CAT],TA_21,D_D[EP],-1, D_D[LOC],$A48),0)</f>
        <v>1217</v>
      </c>
      <c r="F48" s="53">
        <f>IFERROR(SUMIFS(D_D[BL],D_D[MT],2,D_D[CAT],TA_21,D_D[EP],-1, D_D[LOC],$A48),0)</f>
        <v>297</v>
      </c>
      <c r="G48" s="54">
        <f t="shared" si="4"/>
        <v>0.24404272801972063</v>
      </c>
      <c r="H48" s="55">
        <f>IFERROR(SUMIFS(D_D[INV],D_D[MT],2,D_D[CAT],TA_22,D_D[EP],-1, D_D[LOC],$A48),0)</f>
        <v>552</v>
      </c>
      <c r="I48" s="53">
        <f>IFERROR(SUMIFS(D_D[BL],D_D[MT],2,D_D[CAT],TA_22,D_D[EP],-1, D_D[LOC],$A48),0)</f>
        <v>296</v>
      </c>
      <c r="J48" s="54">
        <f t="shared" si="5"/>
        <v>0.53623188405797106</v>
      </c>
      <c r="K48" s="56">
        <f>IFERROR(SUMIFS(D_D[INV],D_D[MT],2,D_D[CAT],TA_23,D_D[EP],-1, D_D[LOC],$A48),0)</f>
        <v>6</v>
      </c>
      <c r="L48" s="57">
        <f>IFERROR(SUMIFS(D_D[BL],D_D[MT],2,D_D[CAT],TA_23,D_D[EP],-1, D_D[LOC],$A48),0)</f>
        <v>6</v>
      </c>
      <c r="M48" s="54">
        <f t="shared" si="6"/>
        <v>1</v>
      </c>
      <c r="N48" s="56">
        <f>IFERROR(SUMIFS(D_D[INV],D_D[MT],2,D_D[CAT],TA_24,D_D[EP],-1, D_D[LOC],$A48),0)</f>
        <v>131</v>
      </c>
      <c r="O48" s="57">
        <f>IFERROR(SUMIFS(D_D[BL],D_D[MT],2,D_D[CAT],TA_24,D_D[EP],-1, D_D[LOC],$A48),0)</f>
        <v>95</v>
      </c>
      <c r="P48" s="54">
        <f t="shared" si="7"/>
        <v>0.72519083969465647</v>
      </c>
      <c r="Q48" s="58">
        <f>IFERROR(SUMIFS(D_D[INV],D_D[MT],2,D_D[CAT],TA_25,D_D[EP],-1, D_D[LOC],$A48),0)</f>
        <v>0</v>
      </c>
      <c r="R48" s="58">
        <f>IFERROR(SUMIFS(D_D[INV],D_D[MT],2,D_D[CAT],TA_26,D_D[EP],-1, D_D[LOC],$A48),0)</f>
        <v>4</v>
      </c>
      <c r="S48" s="40">
        <f>IFERROR(SUMIFS(D_D[INV],D_D[MT],7,D_D[CAT],2,D_D[EP],TA_20, D_D[LOC],$A48),0)</f>
        <v>706</v>
      </c>
      <c r="T48" s="230"/>
    </row>
    <row r="49" spans="1:20" x14ac:dyDescent="0.2">
      <c r="A49" s="9" t="s">
        <v>154</v>
      </c>
      <c r="B49" s="97" t="s">
        <v>873</v>
      </c>
      <c r="C49" s="50">
        <f>IFERROR(SUMIFS(D_D[INV],D_D[MT],1,D_D[CAT],TA_20,D_D[EP],-1, D_D[LOC],$A49),0)</f>
        <v>576</v>
      </c>
      <c r="D49" s="51">
        <f>IFERROR(SUMIFS(D_D[ADP],D_D[MT],1,D_D[CAT],D$1,D_D[EP],-1, D_D[LOC],$A49),0)</f>
        <v>102.34</v>
      </c>
      <c r="E49" s="52">
        <f>IFERROR(SUMIFS(D_D[INV],D_D[MT],2,D_D[CAT],TA_21,D_D[EP],-1, D_D[LOC],$A49),0)</f>
        <v>1064</v>
      </c>
      <c r="F49" s="53">
        <f>IFERROR(SUMIFS(D_D[BL],D_D[MT],2,D_D[CAT],TA_21,D_D[EP],-1, D_D[LOC],$A49),0)</f>
        <v>170</v>
      </c>
      <c r="G49" s="54">
        <f t="shared" si="4"/>
        <v>0.15977443609022557</v>
      </c>
      <c r="H49" s="55">
        <f>IFERROR(SUMIFS(D_D[INV],D_D[MT],2,D_D[CAT],TA_22,D_D[EP],-1, D_D[LOC],$A49),0)</f>
        <v>2365</v>
      </c>
      <c r="I49" s="53">
        <f>IFERROR(SUMIFS(D_D[BL],D_D[MT],2,D_D[CAT],TA_22,D_D[EP],-1, D_D[LOC],$A49),0)</f>
        <v>498</v>
      </c>
      <c r="J49" s="54">
        <f t="shared" si="5"/>
        <v>0.21057082452431289</v>
      </c>
      <c r="K49" s="56">
        <f>IFERROR(SUMIFS(D_D[INV],D_D[MT],2,D_D[CAT],TA_23,D_D[EP],-1, D_D[LOC],$A49),0)</f>
        <v>14</v>
      </c>
      <c r="L49" s="57">
        <f>IFERROR(SUMIFS(D_D[BL],D_D[MT],2,D_D[CAT],TA_23,D_D[EP],-1, D_D[LOC],$A49),0)</f>
        <v>0</v>
      </c>
      <c r="M49" s="54">
        <f t="shared" si="6"/>
        <v>0</v>
      </c>
      <c r="N49" s="56">
        <f>IFERROR(SUMIFS(D_D[INV],D_D[MT],2,D_D[CAT],TA_24,D_D[EP],-1, D_D[LOC],$A49),0)</f>
        <v>201</v>
      </c>
      <c r="O49" s="57">
        <f>IFERROR(SUMIFS(D_D[BL],D_D[MT],2,D_D[CAT],TA_24,D_D[EP],-1, D_D[LOC],$A49),0)</f>
        <v>129</v>
      </c>
      <c r="P49" s="54">
        <f t="shared" si="7"/>
        <v>0.64179104477611937</v>
      </c>
      <c r="Q49" s="58">
        <f>IFERROR(SUMIFS(D_D[INV],D_D[MT],2,D_D[CAT],TA_25,D_D[EP],-1, D_D[LOC],$A49),0)</f>
        <v>0</v>
      </c>
      <c r="R49" s="58">
        <f>IFERROR(SUMIFS(D_D[INV],D_D[MT],2,D_D[CAT],TA_26,D_D[EP],-1, D_D[LOC],$A49),0)</f>
        <v>3</v>
      </c>
      <c r="S49" s="40">
        <f>IFERROR(SUMIFS(D_D[INV],D_D[MT],7,D_D[CAT],2,D_D[EP],TA_20, D_D[LOC],$A49),0)</f>
        <v>1631</v>
      </c>
      <c r="T49" s="230"/>
    </row>
    <row r="50" spans="1:20" x14ac:dyDescent="0.2">
      <c r="A50" s="9" t="s">
        <v>150</v>
      </c>
      <c r="B50" s="97" t="s">
        <v>39</v>
      </c>
      <c r="C50" s="50">
        <f>IFERROR(SUMIFS(D_D[INV],D_D[MT],1,D_D[CAT],TA_20,D_D[EP],-1, D_D[LOC],$A50),0)</f>
        <v>1634</v>
      </c>
      <c r="D50" s="51">
        <f>IFERROR(SUMIFS(D_D[ADP],D_D[MT],1,D_D[CAT],D$1,D_D[EP],-1, D_D[LOC],$A50),0)</f>
        <v>92.59</v>
      </c>
      <c r="E50" s="52">
        <f>IFERROR(SUMIFS(D_D[INV],D_D[MT],2,D_D[CAT],TA_21,D_D[EP],-1, D_D[LOC],$A50),0)</f>
        <v>15618</v>
      </c>
      <c r="F50" s="53">
        <f>IFERROR(SUMIFS(D_D[BL],D_D[MT],2,D_D[CAT],TA_21,D_D[EP],-1, D_D[LOC],$A50),0)</f>
        <v>3535</v>
      </c>
      <c r="G50" s="54">
        <f t="shared" si="4"/>
        <v>0.22634140094762453</v>
      </c>
      <c r="H50" s="55">
        <f>IFERROR(SUMIFS(D_D[INV],D_D[MT],2,D_D[CAT],TA_22,D_D[EP],-1, D_D[LOC],$A50),0)</f>
        <v>3976</v>
      </c>
      <c r="I50" s="53">
        <f>IFERROR(SUMIFS(D_D[BL],D_D[MT],2,D_D[CAT],TA_22,D_D[EP],-1, D_D[LOC],$A50),0)</f>
        <v>1341</v>
      </c>
      <c r="J50" s="54">
        <f t="shared" si="5"/>
        <v>0.33727364185110664</v>
      </c>
      <c r="K50" s="56">
        <f>IFERROR(SUMIFS(D_D[INV],D_D[MT],2,D_D[CAT],TA_23,D_D[EP],-1, D_D[LOC],$A50),0)</f>
        <v>193</v>
      </c>
      <c r="L50" s="57">
        <f>IFERROR(SUMIFS(D_D[BL],D_D[MT],2,D_D[CAT],TA_23,D_D[EP],-1, D_D[LOC],$A50),0)</f>
        <v>154</v>
      </c>
      <c r="M50" s="54">
        <f t="shared" si="6"/>
        <v>0.79792746113989632</v>
      </c>
      <c r="N50" s="56">
        <f>IFERROR(SUMIFS(D_D[INV],D_D[MT],2,D_D[CAT],TA_24,D_D[EP],-1, D_D[LOC],$A50),0)</f>
        <v>1380</v>
      </c>
      <c r="O50" s="57">
        <f>IFERROR(SUMIFS(D_D[BL],D_D[MT],2,D_D[CAT],TA_24,D_D[EP],-1, D_D[LOC],$A50),0)</f>
        <v>755</v>
      </c>
      <c r="P50" s="54">
        <f t="shared" si="7"/>
        <v>0.54710144927536231</v>
      </c>
      <c r="Q50" s="58">
        <f>IFERROR(SUMIFS(D_D[INV],D_D[MT],2,D_D[CAT],TA_25,D_D[EP],-1, D_D[LOC],$A50),0)</f>
        <v>11</v>
      </c>
      <c r="R50" s="58">
        <f>IFERROR(SUMIFS(D_D[INV],D_D[MT],2,D_D[CAT],TA_26,D_D[EP],-1, D_D[LOC],$A50),0)</f>
        <v>135</v>
      </c>
      <c r="S50" s="40">
        <f>IFERROR(SUMIFS(D_D[INV],D_D[MT],7,D_D[CAT],2,D_D[EP],TA_20, D_D[LOC],$A50),0)</f>
        <v>15120</v>
      </c>
      <c r="T50" s="230"/>
    </row>
    <row r="51" spans="1:20" x14ac:dyDescent="0.2">
      <c r="A51" s="9" t="s">
        <v>133</v>
      </c>
      <c r="B51" s="97" t="s">
        <v>43</v>
      </c>
      <c r="C51" s="50">
        <f>IFERROR(SUMIFS(D_D[INV],D_D[MT],1,D_D[CAT],TA_20,D_D[EP],-1, D_D[LOC],$A51),0)</f>
        <v>1532</v>
      </c>
      <c r="D51" s="51">
        <f>IFERROR(SUMIFS(D_D[ADP],D_D[MT],1,D_D[CAT],D$1,D_D[EP],-1, D_D[LOC],$A51),0)</f>
        <v>111.98</v>
      </c>
      <c r="E51" s="52">
        <f>IFERROR(SUMIFS(D_D[INV],D_D[MT],2,D_D[CAT],TA_21,D_D[EP],-1, D_D[LOC],$A51),0)</f>
        <v>3261</v>
      </c>
      <c r="F51" s="53">
        <f>IFERROR(SUMIFS(D_D[BL],D_D[MT],2,D_D[CAT],TA_21,D_D[EP],-1, D_D[LOC],$A51),0)</f>
        <v>548</v>
      </c>
      <c r="G51" s="54">
        <f t="shared" si="4"/>
        <v>0.16804661146887459</v>
      </c>
      <c r="H51" s="55">
        <f>IFERROR(SUMIFS(D_D[INV],D_D[MT],2,D_D[CAT],TA_22,D_D[EP],-1, D_D[LOC],$A51),0)</f>
        <v>2754</v>
      </c>
      <c r="I51" s="53">
        <f>IFERROR(SUMIFS(D_D[BL],D_D[MT],2,D_D[CAT],TA_22,D_D[EP],-1, D_D[LOC],$A51),0)</f>
        <v>1076</v>
      </c>
      <c r="J51" s="54">
        <f t="shared" si="5"/>
        <v>0.39070442992011617</v>
      </c>
      <c r="K51" s="56">
        <f>IFERROR(SUMIFS(D_D[INV],D_D[MT],2,D_D[CAT],TA_23,D_D[EP],-1, D_D[LOC],$A51),0)</f>
        <v>195</v>
      </c>
      <c r="L51" s="57">
        <f>IFERROR(SUMIFS(D_D[BL],D_D[MT],2,D_D[CAT],TA_23,D_D[EP],-1, D_D[LOC],$A51),0)</f>
        <v>172</v>
      </c>
      <c r="M51" s="54">
        <f t="shared" si="6"/>
        <v>0.88205128205128203</v>
      </c>
      <c r="N51" s="56">
        <f>IFERROR(SUMIFS(D_D[INV],D_D[MT],2,D_D[CAT],TA_24,D_D[EP],-1, D_D[LOC],$A51),0)</f>
        <v>533</v>
      </c>
      <c r="O51" s="57">
        <f>IFERROR(SUMIFS(D_D[BL],D_D[MT],2,D_D[CAT],TA_24,D_D[EP],-1, D_D[LOC],$A51),0)</f>
        <v>320</v>
      </c>
      <c r="P51" s="54">
        <f t="shared" si="7"/>
        <v>0.60037523452157604</v>
      </c>
      <c r="Q51" s="58">
        <f>IFERROR(SUMIFS(D_D[INV],D_D[MT],2,D_D[CAT],TA_25,D_D[EP],-1, D_D[LOC],$A51),0)</f>
        <v>3</v>
      </c>
      <c r="R51" s="58">
        <f>IFERROR(SUMIFS(D_D[INV],D_D[MT],2,D_D[CAT],TA_26,D_D[EP],-1, D_D[LOC],$A51),0)</f>
        <v>8</v>
      </c>
      <c r="S51" s="40">
        <f>IFERROR(SUMIFS(D_D[INV],D_D[MT],7,D_D[CAT],2,D_D[EP],TA_20, D_D[LOC],$A51),0)</f>
        <v>3779</v>
      </c>
      <c r="T51" s="230"/>
    </row>
    <row r="52" spans="1:20" x14ac:dyDescent="0.2">
      <c r="A52" s="9" t="s">
        <v>146</v>
      </c>
      <c r="B52" s="97" t="s">
        <v>23</v>
      </c>
      <c r="C52" s="50">
        <f>IFERROR(SUMIFS(D_D[INV],D_D[MT],1,D_D[CAT],TA_20,D_D[EP],-1, D_D[LOC],$A52),0)</f>
        <v>1951</v>
      </c>
      <c r="D52" s="51">
        <f>IFERROR(SUMIFS(D_D[ADP],D_D[MT],1,D_D[CAT],D$1,D_D[EP],-1, D_D[LOC],$A52),0)</f>
        <v>102.34</v>
      </c>
      <c r="E52" s="52">
        <f>IFERROR(SUMIFS(D_D[INV],D_D[MT],2,D_D[CAT],TA_21,D_D[EP],-1, D_D[LOC],$A52),0)</f>
        <v>7607</v>
      </c>
      <c r="F52" s="53">
        <f>IFERROR(SUMIFS(D_D[BL],D_D[MT],2,D_D[CAT],TA_21,D_D[EP],-1, D_D[LOC],$A52),0)</f>
        <v>1679</v>
      </c>
      <c r="G52" s="54">
        <f t="shared" si="4"/>
        <v>0.2207177599579335</v>
      </c>
      <c r="H52" s="55">
        <f>IFERROR(SUMIFS(D_D[INV],D_D[MT],2,D_D[CAT],TA_22,D_D[EP],-1, D_D[LOC],$A52),0)</f>
        <v>7670</v>
      </c>
      <c r="I52" s="53">
        <f>IFERROR(SUMIFS(D_D[BL],D_D[MT],2,D_D[CAT],TA_22,D_D[EP],-1, D_D[LOC],$A52),0)</f>
        <v>1628</v>
      </c>
      <c r="J52" s="54">
        <f t="shared" si="5"/>
        <v>0.21225554106910038</v>
      </c>
      <c r="K52" s="56">
        <f>IFERROR(SUMIFS(D_D[INV],D_D[MT],2,D_D[CAT],TA_23,D_D[EP],-1, D_D[LOC],$A52),0)</f>
        <v>65</v>
      </c>
      <c r="L52" s="57">
        <f>IFERROR(SUMIFS(D_D[BL],D_D[MT],2,D_D[CAT],TA_23,D_D[EP],-1, D_D[LOC],$A52),0)</f>
        <v>18</v>
      </c>
      <c r="M52" s="54">
        <f t="shared" si="6"/>
        <v>0.27692307692307694</v>
      </c>
      <c r="N52" s="56">
        <f>IFERROR(SUMIFS(D_D[INV],D_D[MT],2,D_D[CAT],TA_24,D_D[EP],-1, D_D[LOC],$A52),0)</f>
        <v>1117</v>
      </c>
      <c r="O52" s="57">
        <f>IFERROR(SUMIFS(D_D[BL],D_D[MT],2,D_D[CAT],TA_24,D_D[EP],-1, D_D[LOC],$A52),0)</f>
        <v>736</v>
      </c>
      <c r="P52" s="54">
        <f t="shared" si="7"/>
        <v>0.65890778871978517</v>
      </c>
      <c r="Q52" s="58">
        <f>IFERROR(SUMIFS(D_D[INV],D_D[MT],2,D_D[CAT],TA_25,D_D[EP],-1, D_D[LOC],$A52),0)</f>
        <v>1</v>
      </c>
      <c r="R52" s="58">
        <f>IFERROR(SUMIFS(D_D[INV],D_D[MT],2,D_D[CAT],TA_26,D_D[EP],-1, D_D[LOC],$A52),0)</f>
        <v>20</v>
      </c>
      <c r="S52" s="40">
        <f>IFERROR(SUMIFS(D_D[INV],D_D[MT],7,D_D[CAT],2,D_D[EP],TA_20, D_D[LOC],$A52),0)</f>
        <v>6195</v>
      </c>
      <c r="T52" s="230"/>
    </row>
    <row r="53" spans="1:20" x14ac:dyDescent="0.2">
      <c r="A53" s="9" t="s">
        <v>156</v>
      </c>
      <c r="B53" s="97" t="s">
        <v>67</v>
      </c>
      <c r="C53" s="50">
        <f>IFERROR(SUMIFS(D_D[INV],D_D[MT],1,D_D[CAT],TA_20,D_D[EP],-1, D_D[LOC],$A53),0)</f>
        <v>178</v>
      </c>
      <c r="D53" s="51">
        <f>IFERROR(SUMIFS(D_D[ADP],D_D[MT],1,D_D[CAT],D$1,D_D[EP],-1, D_D[LOC],$A53),0)</f>
        <v>90.54</v>
      </c>
      <c r="E53" s="52">
        <f>IFERROR(SUMIFS(D_D[INV],D_D[MT],2,D_D[CAT],TA_21,D_D[EP],-1, D_D[LOC],$A53),0)</f>
        <v>1716</v>
      </c>
      <c r="F53" s="53">
        <f>IFERROR(SUMIFS(D_D[BL],D_D[MT],2,D_D[CAT],TA_21,D_D[EP],-1, D_D[LOC],$A53),0)</f>
        <v>330</v>
      </c>
      <c r="G53" s="54">
        <f t="shared" si="4"/>
        <v>0.19230769230769232</v>
      </c>
      <c r="H53" s="55">
        <f>IFERROR(SUMIFS(D_D[INV],D_D[MT],2,D_D[CAT],TA_22,D_D[EP],-1, D_D[LOC],$A53),0)</f>
        <v>710</v>
      </c>
      <c r="I53" s="53">
        <f>IFERROR(SUMIFS(D_D[BL],D_D[MT],2,D_D[CAT],TA_22,D_D[EP],-1, D_D[LOC],$A53),0)</f>
        <v>341</v>
      </c>
      <c r="J53" s="54">
        <f t="shared" si="5"/>
        <v>0.4802816901408451</v>
      </c>
      <c r="K53" s="56">
        <f>IFERROR(SUMIFS(D_D[INV],D_D[MT],2,D_D[CAT],TA_23,D_D[EP],-1, D_D[LOC],$A53),0)</f>
        <v>5</v>
      </c>
      <c r="L53" s="57">
        <f>IFERROR(SUMIFS(D_D[BL],D_D[MT],2,D_D[CAT],TA_23,D_D[EP],-1, D_D[LOC],$A53),0)</f>
        <v>1</v>
      </c>
      <c r="M53" s="54">
        <f t="shared" si="6"/>
        <v>0.2</v>
      </c>
      <c r="N53" s="56">
        <f>IFERROR(SUMIFS(D_D[INV],D_D[MT],2,D_D[CAT],TA_24,D_D[EP],-1, D_D[LOC],$A53),0)</f>
        <v>142</v>
      </c>
      <c r="O53" s="57">
        <f>IFERROR(SUMIFS(D_D[BL],D_D[MT],2,D_D[CAT],TA_24,D_D[EP],-1, D_D[LOC],$A53),0)</f>
        <v>108</v>
      </c>
      <c r="P53" s="54">
        <f t="shared" si="7"/>
        <v>0.76056338028169013</v>
      </c>
      <c r="Q53" s="58">
        <f>IFERROR(SUMIFS(D_D[INV],D_D[MT],2,D_D[CAT],TA_25,D_D[EP],-1, D_D[LOC],$A53),0)</f>
        <v>0</v>
      </c>
      <c r="R53" s="58">
        <f>IFERROR(SUMIFS(D_D[INV],D_D[MT],2,D_D[CAT],TA_26,D_D[EP],-1, D_D[LOC],$A53),0)</f>
        <v>0</v>
      </c>
      <c r="S53" s="40">
        <f>IFERROR(SUMIFS(D_D[INV],D_D[MT],7,D_D[CAT],2,D_D[EP],TA_20, D_D[LOC],$A53),0)</f>
        <v>678</v>
      </c>
      <c r="T53" s="230"/>
    </row>
    <row r="54" spans="1:20" x14ac:dyDescent="0.2">
      <c r="A54" s="9" t="s">
        <v>134</v>
      </c>
      <c r="B54" s="97" t="s">
        <v>69</v>
      </c>
      <c r="C54" s="50">
        <f>IFERROR(SUMIFS(D_D[INV],D_D[MT],1,D_D[CAT],TA_20,D_D[EP],-1, D_D[LOC],$A54),0)</f>
        <v>5798</v>
      </c>
      <c r="D54" s="51">
        <f>IFERROR(SUMIFS(D_D[ADP],D_D[MT],1,D_D[CAT],D$1,D_D[EP],-1, D_D[LOC],$A54),0)</f>
        <v>94.26</v>
      </c>
      <c r="E54" s="52">
        <f>IFERROR(SUMIFS(D_D[INV],D_D[MT],2,D_D[CAT],TA_21,D_D[EP],-1, D_D[LOC],$A54),0)</f>
        <v>12997</v>
      </c>
      <c r="F54" s="53">
        <f>IFERROR(SUMIFS(D_D[BL],D_D[MT],2,D_D[CAT],TA_21,D_D[EP],-1, D_D[LOC],$A54),0)</f>
        <v>3154</v>
      </c>
      <c r="G54" s="54">
        <f t="shared" si="4"/>
        <v>0.24267138570439331</v>
      </c>
      <c r="H54" s="55">
        <f>IFERROR(SUMIFS(D_D[INV],D_D[MT],2,D_D[CAT],TA_22,D_D[EP],-1, D_D[LOC],$A54),0)</f>
        <v>20720</v>
      </c>
      <c r="I54" s="53">
        <f>IFERROR(SUMIFS(D_D[BL],D_D[MT],2,D_D[CAT],TA_22,D_D[EP],-1, D_D[LOC],$A54),0)</f>
        <v>3397</v>
      </c>
      <c r="J54" s="54">
        <f t="shared" si="5"/>
        <v>0.16394787644787645</v>
      </c>
      <c r="K54" s="56">
        <f>IFERROR(SUMIFS(D_D[INV],D_D[MT],2,D_D[CAT],TA_23,D_D[EP],-1, D_D[LOC],$A54),0)</f>
        <v>752</v>
      </c>
      <c r="L54" s="57">
        <f>IFERROR(SUMIFS(D_D[BL],D_D[MT],2,D_D[CAT],TA_23,D_D[EP],-1, D_D[LOC],$A54),0)</f>
        <v>193</v>
      </c>
      <c r="M54" s="54">
        <f t="shared" si="6"/>
        <v>0.25664893617021278</v>
      </c>
      <c r="N54" s="56">
        <f>IFERROR(SUMIFS(D_D[INV],D_D[MT],2,D_D[CAT],TA_24,D_D[EP],-1, D_D[LOC],$A54),0)</f>
        <v>4287</v>
      </c>
      <c r="O54" s="57">
        <f>IFERROR(SUMIFS(D_D[BL],D_D[MT],2,D_D[CAT],TA_24,D_D[EP],-1, D_D[LOC],$A54),0)</f>
        <v>2757</v>
      </c>
      <c r="P54" s="54">
        <f t="shared" si="7"/>
        <v>0.64310706787963612</v>
      </c>
      <c r="Q54" s="58">
        <f>IFERROR(SUMIFS(D_D[INV],D_D[MT],2,D_D[CAT],TA_25,D_D[EP],-1, D_D[LOC],$A54),0)</f>
        <v>6635</v>
      </c>
      <c r="R54" s="58">
        <f>IFERROR(SUMIFS(D_D[INV],D_D[MT],2,D_D[CAT],TA_26,D_D[EP],-1, D_D[LOC],$A54),0)</f>
        <v>0</v>
      </c>
      <c r="S54" s="40">
        <f>IFERROR(SUMIFS(D_D[INV],D_D[MT],7,D_D[CAT],2,D_D[EP],TA_20, D_D[LOC],$A54),0)</f>
        <v>2095</v>
      </c>
      <c r="T54" s="230"/>
    </row>
    <row r="55" spans="1:20" x14ac:dyDescent="0.2">
      <c r="A55" s="9" t="s">
        <v>144</v>
      </c>
      <c r="B55" s="97" t="s">
        <v>72</v>
      </c>
      <c r="C55" s="50">
        <f>IFERROR(SUMIFS(D_D[INV],D_D[MT],1,D_D[CAT],TA_20,D_D[EP],-1, D_D[LOC],$A55),0)</f>
        <v>1869</v>
      </c>
      <c r="D55" s="51">
        <f>IFERROR(SUMIFS(D_D[ADP],D_D[MT],1,D_D[CAT],D$1,D_D[EP],-1, D_D[LOC],$A55),0)</f>
        <v>82.3</v>
      </c>
      <c r="E55" s="52">
        <f>IFERROR(SUMIFS(D_D[INV],D_D[MT],2,D_D[CAT],TA_21,D_D[EP],-1, D_D[LOC],$A55),0)</f>
        <v>20305</v>
      </c>
      <c r="F55" s="53">
        <f>IFERROR(SUMIFS(D_D[BL],D_D[MT],2,D_D[CAT],TA_21,D_D[EP],-1, D_D[LOC],$A55),0)</f>
        <v>3461</v>
      </c>
      <c r="G55" s="54">
        <f t="shared" si="4"/>
        <v>0.17045062792415661</v>
      </c>
      <c r="H55" s="55">
        <f>IFERROR(SUMIFS(D_D[INV],D_D[MT],2,D_D[CAT],TA_22,D_D[EP],-1, D_D[LOC],$A55),0)</f>
        <v>5974</v>
      </c>
      <c r="I55" s="53">
        <f>IFERROR(SUMIFS(D_D[BL],D_D[MT],2,D_D[CAT],TA_22,D_D[EP],-1, D_D[LOC],$A55),0)</f>
        <v>2221</v>
      </c>
      <c r="J55" s="54">
        <f t="shared" si="5"/>
        <v>0.37177770338131905</v>
      </c>
      <c r="K55" s="56">
        <f>IFERROR(SUMIFS(D_D[INV],D_D[MT],2,D_D[CAT],TA_23,D_D[EP],-1, D_D[LOC],$A55),0)</f>
        <v>629</v>
      </c>
      <c r="L55" s="57">
        <f>IFERROR(SUMIFS(D_D[BL],D_D[MT],2,D_D[CAT],TA_23,D_D[EP],-1, D_D[LOC],$A55),0)</f>
        <v>274</v>
      </c>
      <c r="M55" s="54">
        <f t="shared" si="6"/>
        <v>0.43561208267090618</v>
      </c>
      <c r="N55" s="56">
        <f>IFERROR(SUMIFS(D_D[INV],D_D[MT],2,D_D[CAT],TA_24,D_D[EP],-1, D_D[LOC],$A55),0)</f>
        <v>1931</v>
      </c>
      <c r="O55" s="57">
        <f>IFERROR(SUMIFS(D_D[BL],D_D[MT],2,D_D[CAT],TA_24,D_D[EP],-1, D_D[LOC],$A55),0)</f>
        <v>1100</v>
      </c>
      <c r="P55" s="54">
        <f t="shared" si="7"/>
        <v>0.56965302951838426</v>
      </c>
      <c r="Q55" s="58">
        <f>IFERROR(SUMIFS(D_D[INV],D_D[MT],2,D_D[CAT],TA_25,D_D[EP],-1, D_D[LOC],$A55),0)</f>
        <v>2</v>
      </c>
      <c r="R55" s="58">
        <f>IFERROR(SUMIFS(D_D[INV],D_D[MT],2,D_D[CAT],TA_26,D_D[EP],-1, D_D[LOC],$A55),0)</f>
        <v>113</v>
      </c>
      <c r="S55" s="40">
        <f>IFERROR(SUMIFS(D_D[INV],D_D[MT],7,D_D[CAT],2,D_D[EP],TA_20, D_D[LOC],$A55),0)</f>
        <v>4813</v>
      </c>
      <c r="T55" s="230"/>
    </row>
    <row r="56" spans="1:20" x14ac:dyDescent="0.2">
      <c r="A56" s="9" t="s">
        <v>157</v>
      </c>
      <c r="B56" s="229" t="s">
        <v>74</v>
      </c>
      <c r="C56" s="59">
        <f>IFERROR(SUMIFS(D_D[INV],D_D[MT],1,D_D[CAT],TA_20,D_D[EP],-1, D_D[LOC],$A56),0)</f>
        <v>239</v>
      </c>
      <c r="D56" s="60">
        <f>IFERROR(SUMIFS(D_D[ADP],D_D[MT],1,D_D[CAT],D$1,D_D[EP],-1, D_D[LOC],$A56),0)</f>
        <v>96.21</v>
      </c>
      <c r="E56" s="61">
        <f>IFERROR(SUMIFS(D_D[INV],D_D[MT],2,D_D[CAT],TA_21,D_D[EP],-1, D_D[LOC],$A56),0)</f>
        <v>1728</v>
      </c>
      <c r="F56" s="62">
        <f>IFERROR(SUMIFS(D_D[BL],D_D[MT],2,D_D[CAT],TA_21,D_D[EP],-1, D_D[LOC],$A56),0)</f>
        <v>578</v>
      </c>
      <c r="G56" s="63">
        <f t="shared" si="4"/>
        <v>0.33449074074074076</v>
      </c>
      <c r="H56" s="64">
        <f>IFERROR(SUMIFS(D_D[INV],D_D[MT],2,D_D[CAT],TA_22,D_D[EP],-1, D_D[LOC],$A56),0)</f>
        <v>803</v>
      </c>
      <c r="I56" s="62">
        <f>IFERROR(SUMIFS(D_D[BL],D_D[MT],2,D_D[CAT],TA_22,D_D[EP],-1, D_D[LOC],$A56),0)</f>
        <v>382</v>
      </c>
      <c r="J56" s="63">
        <f t="shared" si="5"/>
        <v>0.47571606475716066</v>
      </c>
      <c r="K56" s="65">
        <f>IFERROR(SUMIFS(D_D[INV],D_D[MT],2,D_D[CAT],TA_23,D_D[EP],-1, D_D[LOC],$A56),0)</f>
        <v>6</v>
      </c>
      <c r="L56" s="66">
        <f>IFERROR(SUMIFS(D_D[BL],D_D[MT],2,D_D[CAT],TA_23,D_D[EP],-1, D_D[LOC],$A56),0)</f>
        <v>1</v>
      </c>
      <c r="M56" s="63">
        <f t="shared" si="6"/>
        <v>0.16666666666666666</v>
      </c>
      <c r="N56" s="65">
        <f>IFERROR(SUMIFS(D_D[INV],D_D[MT],2,D_D[CAT],TA_24,D_D[EP],-1, D_D[LOC],$A56),0)</f>
        <v>238</v>
      </c>
      <c r="O56" s="66">
        <f>IFERROR(SUMIFS(D_D[BL],D_D[MT],2,D_D[CAT],TA_24,D_D[EP],-1, D_D[LOC],$A56),0)</f>
        <v>126</v>
      </c>
      <c r="P56" s="63">
        <f t="shared" si="7"/>
        <v>0.52941176470588236</v>
      </c>
      <c r="Q56" s="67">
        <f>IFERROR(SUMIFS(D_D[INV],D_D[MT],2,D_D[CAT],TA_25,D_D[EP],-1, D_D[LOC],$A56),0)</f>
        <v>1</v>
      </c>
      <c r="R56" s="67">
        <f>IFERROR(SUMIFS(D_D[INV],D_D[MT],2,D_D[CAT],TA_26,D_D[EP],-1, D_D[LOC],$A56),0)</f>
        <v>8</v>
      </c>
      <c r="S56" s="40">
        <f>IFERROR(SUMIFS(D_D[INV],D_D[MT],7,D_D[CAT],2,D_D[EP],TA_20, D_D[LOC],$A56),0)</f>
        <v>1941</v>
      </c>
      <c r="T56" s="230"/>
    </row>
    <row r="57" spans="1:20" x14ac:dyDescent="0.2">
      <c r="A57" s="9">
        <v>395</v>
      </c>
      <c r="B57" s="228" t="s">
        <v>310</v>
      </c>
      <c r="C57" s="44">
        <f>IFERROR(SUMIFS(D_D[INV],D_D[MT],1,D_D[CAT],TA_20,D_D[EP],-1, D_D[LOC],$A57),0)</f>
        <v>9611</v>
      </c>
      <c r="D57" s="38">
        <f>IFERROR(SUMIFS(D_D[ADP],D_D[MT],1,D_D[CAT],D$1,D_D[EP],-1, D_D[LOC],$A57),0)</f>
        <v>104.02</v>
      </c>
      <c r="E57" s="45">
        <f>IFERROR(SUMIFS(D_D[INV],D_D[MT],2,D_D[CAT],TA_21,D_D[EP],-1, D_D[LOC],$A57),0)</f>
        <v>60786</v>
      </c>
      <c r="F57" s="49">
        <f>IFERROR(SUMIFS(D_D[BL],D_D[MT],2,D_D[CAT],TA_21,D_D[EP],-1, D_D[LOC],$A57),0)</f>
        <v>15283</v>
      </c>
      <c r="G57" s="46">
        <f t="shared" si="4"/>
        <v>0.25142302503866021</v>
      </c>
      <c r="H57" s="49">
        <f>IFERROR(SUMIFS(D_D[INV],D_D[MT],2,D_D[CAT],TA_22,D_D[EP],-1, D_D[LOC],$A57),0)</f>
        <v>31468</v>
      </c>
      <c r="I57" s="49">
        <f>IFERROR(SUMIFS(D_D[BL],D_D[MT],2,D_D[CAT],TA_22,D_D[EP],-1, D_D[LOC],$A57),0)</f>
        <v>10189</v>
      </c>
      <c r="J57" s="46">
        <f t="shared" si="5"/>
        <v>0.32378924621838057</v>
      </c>
      <c r="K57" s="44">
        <f>IFERROR(SUMIFS(D_D[INV],D_D[MT],2,D_D[CAT],TA_23,D_D[EP],-1, D_D[LOC],$A57),0)</f>
        <v>3642</v>
      </c>
      <c r="L57" s="44">
        <f>IFERROR(SUMIFS(D_D[BL],D_D[MT],2,D_D[CAT],TA_23,D_D[EP],-1, D_D[LOC],$A57),0)</f>
        <v>1273</v>
      </c>
      <c r="M57" s="46">
        <f t="shared" si="6"/>
        <v>0.34953322350356947</v>
      </c>
      <c r="N57" s="44">
        <f>IFERROR(SUMIFS(D_D[INV],D_D[MT],2,D_D[CAT],TA_24,D_D[EP],-1, D_D[LOC],$A57),0)</f>
        <v>7678</v>
      </c>
      <c r="O57" s="44">
        <f>IFERROR(SUMIFS(D_D[BL],D_D[MT],2,D_D[CAT],TA_24,D_D[EP],-1, D_D[LOC],$A57),0)</f>
        <v>4779</v>
      </c>
      <c r="P57" s="46">
        <f t="shared" si="7"/>
        <v>0.62242771555092469</v>
      </c>
      <c r="Q57" s="44">
        <f>IFERROR(SUMIFS(D_D[INV],D_D[MT],2,D_D[CAT],TA_25,D_D[EP],-1, D_D[LOC],$A57),0)</f>
        <v>66</v>
      </c>
      <c r="R57" s="47">
        <f>IFERROR(SUMIFS(D_D[INV],D_D[MT],2,D_D[CAT],TA_26,D_D[EP],-1, D_D[LOC],$A57),0)</f>
        <v>615</v>
      </c>
      <c r="S57" s="47">
        <f>IFERROR(SUMIFS(D_D[INV],D_D[MT],7,D_D[CAT],2,D_D[EP],TA_20, D_D[LOC],$A57),0)</f>
        <v>34490</v>
      </c>
      <c r="T57" s="230"/>
    </row>
    <row r="58" spans="1:20" x14ac:dyDescent="0.2">
      <c r="A58" s="9" t="s">
        <v>136</v>
      </c>
      <c r="B58" s="97" t="s">
        <v>25</v>
      </c>
      <c r="C58" s="50">
        <f>IFERROR(SUMIFS(D_D[INV],D_D[MT],1,D_D[CAT],TA_20,D_D[EP],-1, D_D[LOC],$A58),0)</f>
        <v>352</v>
      </c>
      <c r="D58" s="51">
        <f>IFERROR(SUMIFS(D_D[ADP],D_D[MT],1,D_D[CAT],D$1,D_D[EP],-1, D_D[LOC],$A58),0)</f>
        <v>75.2</v>
      </c>
      <c r="E58" s="52">
        <f>IFERROR(SUMIFS(D_D[INV],D_D[MT],2,D_D[CAT],TA_21,D_D[EP],-1, D_D[LOC],$A58),0)</f>
        <v>2570</v>
      </c>
      <c r="F58" s="53">
        <f>IFERROR(SUMIFS(D_D[BL],D_D[MT],2,D_D[CAT],TA_21,D_D[EP],-1, D_D[LOC],$A58),0)</f>
        <v>769</v>
      </c>
      <c r="G58" s="54">
        <f t="shared" si="4"/>
        <v>0.29922178988326847</v>
      </c>
      <c r="H58" s="55">
        <f>IFERROR(SUMIFS(D_D[INV],D_D[MT],2,D_D[CAT],TA_22,D_D[EP],-1, D_D[LOC],$A58),0)</f>
        <v>1045</v>
      </c>
      <c r="I58" s="53">
        <f>IFERROR(SUMIFS(D_D[BL],D_D[MT],2,D_D[CAT],TA_22,D_D[EP],-1, D_D[LOC],$A58),0)</f>
        <v>497</v>
      </c>
      <c r="J58" s="54">
        <f t="shared" si="5"/>
        <v>0.47559808612440191</v>
      </c>
      <c r="K58" s="56">
        <f>IFERROR(SUMIFS(D_D[INV],D_D[MT],2,D_D[CAT],TA_23,D_D[EP],-1, D_D[LOC],$A58),0)</f>
        <v>9</v>
      </c>
      <c r="L58" s="57">
        <f>IFERROR(SUMIFS(D_D[BL],D_D[MT],2,D_D[CAT],TA_23,D_D[EP],-1, D_D[LOC],$A58),0)</f>
        <v>1</v>
      </c>
      <c r="M58" s="54">
        <f t="shared" si="6"/>
        <v>0.1111111111111111</v>
      </c>
      <c r="N58" s="56">
        <f>IFERROR(SUMIFS(D_D[INV],D_D[MT],2,D_D[CAT],TA_24,D_D[EP],-1, D_D[LOC],$A58),0)</f>
        <v>227</v>
      </c>
      <c r="O58" s="57">
        <f>IFERROR(SUMIFS(D_D[BL],D_D[MT],2,D_D[CAT],TA_24,D_D[EP],-1, D_D[LOC],$A58),0)</f>
        <v>144</v>
      </c>
      <c r="P58" s="54">
        <f t="shared" si="7"/>
        <v>0.63436123348017626</v>
      </c>
      <c r="Q58" s="58">
        <f>IFERROR(SUMIFS(D_D[INV],D_D[MT],2,D_D[CAT],TA_25,D_D[EP],-1, D_D[LOC],$A58),0)</f>
        <v>0</v>
      </c>
      <c r="R58" s="58">
        <f>IFERROR(SUMIFS(D_D[INV],D_D[MT],2,D_D[CAT],TA_26,D_D[EP],-1, D_D[LOC],$A58),0)</f>
        <v>4</v>
      </c>
      <c r="S58" s="40">
        <f>IFERROR(SUMIFS(D_D[INV],D_D[MT],7,D_D[CAT],2,D_D[EP],TA_20, D_D[LOC],$A58),0)</f>
        <v>3117</v>
      </c>
      <c r="T58" s="230"/>
    </row>
    <row r="59" spans="1:20" x14ac:dyDescent="0.2">
      <c r="A59" s="9" t="s">
        <v>160</v>
      </c>
      <c r="B59" s="97" t="s">
        <v>26</v>
      </c>
      <c r="C59" s="50">
        <f>IFERROR(SUMIFS(D_D[INV],D_D[MT],1,D_D[CAT],TA_20,D_D[EP],-1, D_D[LOC],$A59),0)</f>
        <v>109</v>
      </c>
      <c r="D59" s="51">
        <f>IFERROR(SUMIFS(D_D[ADP],D_D[MT],1,D_D[CAT],D$1,D_D[EP],-1, D_D[LOC],$A59),0)</f>
        <v>75.650000000000006</v>
      </c>
      <c r="E59" s="52">
        <f>IFERROR(SUMIFS(D_D[INV],D_D[MT],2,D_D[CAT],TA_21,D_D[EP],-1, D_D[LOC],$A59),0)</f>
        <v>978</v>
      </c>
      <c r="F59" s="53">
        <f>IFERROR(SUMIFS(D_D[BL],D_D[MT],2,D_D[CAT],TA_21,D_D[EP],-1, D_D[LOC],$A59),0)</f>
        <v>251</v>
      </c>
      <c r="G59" s="54">
        <f t="shared" si="4"/>
        <v>0.25664621676891614</v>
      </c>
      <c r="H59" s="55">
        <f>IFERROR(SUMIFS(D_D[INV],D_D[MT],2,D_D[CAT],TA_22,D_D[EP],-1, D_D[LOC],$A59),0)</f>
        <v>453</v>
      </c>
      <c r="I59" s="53">
        <f>IFERROR(SUMIFS(D_D[BL],D_D[MT],2,D_D[CAT],TA_22,D_D[EP],-1, D_D[LOC],$A59),0)</f>
        <v>265</v>
      </c>
      <c r="J59" s="54">
        <f t="shared" si="5"/>
        <v>0.58498896247240617</v>
      </c>
      <c r="K59" s="56">
        <f>IFERROR(SUMIFS(D_D[INV],D_D[MT],2,D_D[CAT],TA_23,D_D[EP],-1, D_D[LOC],$A59),0)</f>
        <v>0</v>
      </c>
      <c r="L59" s="57">
        <f>IFERROR(SUMIFS(D_D[BL],D_D[MT],2,D_D[CAT],TA_23,D_D[EP],-1, D_D[LOC],$A59),0)</f>
        <v>0</v>
      </c>
      <c r="M59" s="54" t="str">
        <f t="shared" si="6"/>
        <v>0%</v>
      </c>
      <c r="N59" s="56">
        <f>IFERROR(SUMIFS(D_D[INV],D_D[MT],2,D_D[CAT],TA_24,D_D[EP],-1, D_D[LOC],$A59),0)</f>
        <v>88</v>
      </c>
      <c r="O59" s="57">
        <f>IFERROR(SUMIFS(D_D[BL],D_D[MT],2,D_D[CAT],TA_24,D_D[EP],-1, D_D[LOC],$A59),0)</f>
        <v>50</v>
      </c>
      <c r="P59" s="54">
        <f t="shared" si="7"/>
        <v>0.56818181818181823</v>
      </c>
      <c r="Q59" s="58">
        <f>IFERROR(SUMIFS(D_D[INV],D_D[MT],2,D_D[CAT],TA_25,D_D[EP],-1, D_D[LOC],$A59),0)</f>
        <v>0</v>
      </c>
      <c r="R59" s="58">
        <f>IFERROR(SUMIFS(D_D[INV],D_D[MT],2,D_D[CAT],TA_26,D_D[EP],-1, D_D[LOC],$A59),0)</f>
        <v>2</v>
      </c>
      <c r="S59" s="40">
        <f>IFERROR(SUMIFS(D_D[INV],D_D[MT],7,D_D[CAT],2,D_D[EP],TA_20, D_D[LOC],$A59),0)</f>
        <v>536</v>
      </c>
      <c r="T59" s="230"/>
    </row>
    <row r="60" spans="1:20" x14ac:dyDescent="0.2">
      <c r="A60" s="9" t="s">
        <v>142</v>
      </c>
      <c r="B60" s="97" t="s">
        <v>28</v>
      </c>
      <c r="C60" s="50">
        <f>IFERROR(SUMIFS(D_D[INV],D_D[MT],1,D_D[CAT],TA_20,D_D[EP],-1, D_D[LOC],$A60),0)</f>
        <v>174</v>
      </c>
      <c r="D60" s="51">
        <f>IFERROR(SUMIFS(D_D[ADP],D_D[MT],1,D_D[CAT],D$1,D_D[EP],-1, D_D[LOC],$A60),0)</f>
        <v>93.66</v>
      </c>
      <c r="E60" s="52">
        <f>IFERROR(SUMIFS(D_D[INV],D_D[MT],2,D_D[CAT],TA_21,D_D[EP],-1, D_D[LOC],$A60),0)</f>
        <v>1623</v>
      </c>
      <c r="F60" s="53">
        <f>IFERROR(SUMIFS(D_D[BL],D_D[MT],2,D_D[CAT],TA_21,D_D[EP],-1, D_D[LOC],$A60),0)</f>
        <v>399</v>
      </c>
      <c r="G60" s="54">
        <f t="shared" si="4"/>
        <v>0.24584103512014788</v>
      </c>
      <c r="H60" s="55">
        <f>IFERROR(SUMIFS(D_D[INV],D_D[MT],2,D_D[CAT],TA_22,D_D[EP],-1, D_D[LOC],$A60),0)</f>
        <v>787</v>
      </c>
      <c r="I60" s="53">
        <f>IFERROR(SUMIFS(D_D[BL],D_D[MT],2,D_D[CAT],TA_22,D_D[EP],-1, D_D[LOC],$A60),0)</f>
        <v>434</v>
      </c>
      <c r="J60" s="54">
        <f t="shared" si="5"/>
        <v>0.5514612452350699</v>
      </c>
      <c r="K60" s="56">
        <f>IFERROR(SUMIFS(D_D[INV],D_D[MT],2,D_D[CAT],TA_23,D_D[EP],-1, D_D[LOC],$A60),0)</f>
        <v>5</v>
      </c>
      <c r="L60" s="57">
        <f>IFERROR(SUMIFS(D_D[BL],D_D[MT],2,D_D[CAT],TA_23,D_D[EP],-1, D_D[LOC],$A60),0)</f>
        <v>2</v>
      </c>
      <c r="M60" s="54">
        <f t="shared" si="6"/>
        <v>0.4</v>
      </c>
      <c r="N60" s="56">
        <f>IFERROR(SUMIFS(D_D[INV],D_D[MT],2,D_D[CAT],TA_24,D_D[EP],-1, D_D[LOC],$A60),0)</f>
        <v>155</v>
      </c>
      <c r="O60" s="57">
        <f>IFERROR(SUMIFS(D_D[BL],D_D[MT],2,D_D[CAT],TA_24,D_D[EP],-1, D_D[LOC],$A60),0)</f>
        <v>102</v>
      </c>
      <c r="P60" s="54">
        <f t="shared" si="7"/>
        <v>0.65806451612903227</v>
      </c>
      <c r="Q60" s="58">
        <f>IFERROR(SUMIFS(D_D[INV],D_D[MT],2,D_D[CAT],TA_25,D_D[EP],-1, D_D[LOC],$A60),0)</f>
        <v>0</v>
      </c>
      <c r="R60" s="58">
        <f>IFERROR(SUMIFS(D_D[INV],D_D[MT],2,D_D[CAT],TA_26,D_D[EP],-1, D_D[LOC],$A60),0)</f>
        <v>9</v>
      </c>
      <c r="S60" s="40">
        <f>IFERROR(SUMIFS(D_D[INV],D_D[MT],7,D_D[CAT],2,D_D[EP],TA_20, D_D[LOC],$A60),0)</f>
        <v>1892</v>
      </c>
      <c r="T60" s="230"/>
    </row>
    <row r="61" spans="1:20" x14ac:dyDescent="0.2">
      <c r="A61" s="9" t="s">
        <v>158</v>
      </c>
      <c r="B61" s="97" t="s">
        <v>38</v>
      </c>
      <c r="C61" s="50">
        <f>IFERROR(SUMIFS(D_D[INV],D_D[MT],1,D_D[CAT],TA_20,D_D[EP],-1, D_D[LOC],$A61),0)</f>
        <v>171</v>
      </c>
      <c r="D61" s="51">
        <f>IFERROR(SUMIFS(D_D[ADP],D_D[MT],1,D_D[CAT],D$1,D_D[EP],-1, D_D[LOC],$A61),0)</f>
        <v>86.38</v>
      </c>
      <c r="E61" s="52">
        <f>IFERROR(SUMIFS(D_D[INV],D_D[MT],2,D_D[CAT],TA_21,D_D[EP],-1, D_D[LOC],$A61),0)</f>
        <v>1783</v>
      </c>
      <c r="F61" s="53">
        <f>IFERROR(SUMIFS(D_D[BL],D_D[MT],2,D_D[CAT],TA_21,D_D[EP],-1, D_D[LOC],$A61),0)</f>
        <v>442</v>
      </c>
      <c r="G61" s="54">
        <f t="shared" si="4"/>
        <v>0.24789680314077397</v>
      </c>
      <c r="H61" s="55">
        <f>IFERROR(SUMIFS(D_D[INV],D_D[MT],2,D_D[CAT],TA_22,D_D[EP],-1, D_D[LOC],$A61),0)</f>
        <v>811</v>
      </c>
      <c r="I61" s="53">
        <f>IFERROR(SUMIFS(D_D[BL],D_D[MT],2,D_D[CAT],TA_22,D_D[EP],-1, D_D[LOC],$A61),0)</f>
        <v>401</v>
      </c>
      <c r="J61" s="54">
        <f t="shared" si="5"/>
        <v>0.49445129469790383</v>
      </c>
      <c r="K61" s="56">
        <f>IFERROR(SUMIFS(D_D[INV],D_D[MT],2,D_D[CAT],TA_23,D_D[EP],-1, D_D[LOC],$A61),0)</f>
        <v>11</v>
      </c>
      <c r="L61" s="57">
        <f>IFERROR(SUMIFS(D_D[BL],D_D[MT],2,D_D[CAT],TA_23,D_D[EP],-1, D_D[LOC],$A61),0)</f>
        <v>9</v>
      </c>
      <c r="M61" s="54">
        <f t="shared" si="6"/>
        <v>0.81818181818181823</v>
      </c>
      <c r="N61" s="56">
        <f>IFERROR(SUMIFS(D_D[INV],D_D[MT],2,D_D[CAT],TA_24,D_D[EP],-1, D_D[LOC],$A61),0)</f>
        <v>167</v>
      </c>
      <c r="O61" s="57">
        <f>IFERROR(SUMIFS(D_D[BL],D_D[MT],2,D_D[CAT],TA_24,D_D[EP],-1, D_D[LOC],$A61),0)</f>
        <v>91</v>
      </c>
      <c r="P61" s="54">
        <f t="shared" si="7"/>
        <v>0.54491017964071853</v>
      </c>
      <c r="Q61" s="58">
        <f>IFERROR(SUMIFS(D_D[INV],D_D[MT],2,D_D[CAT],TA_25,D_D[EP],-1, D_D[LOC],$A61),0)</f>
        <v>1</v>
      </c>
      <c r="R61" s="58">
        <f>IFERROR(SUMIFS(D_D[INV],D_D[MT],2,D_D[CAT],TA_26,D_D[EP],-1, D_D[LOC],$A61),0)</f>
        <v>2</v>
      </c>
      <c r="S61" s="40">
        <f>IFERROR(SUMIFS(D_D[INV],D_D[MT],7,D_D[CAT],2,D_D[EP],TA_20, D_D[LOC],$A61),0)</f>
        <v>1309</v>
      </c>
      <c r="T61" s="230"/>
    </row>
    <row r="62" spans="1:20" x14ac:dyDescent="0.2">
      <c r="A62" s="9" t="s">
        <v>139</v>
      </c>
      <c r="B62" s="97" t="s">
        <v>45</v>
      </c>
      <c r="C62" s="50">
        <f>IFERROR(SUMIFS(D_D[INV],D_D[MT],1,D_D[CAT],TA_20,D_D[EP],-1, D_D[LOC],$A62),0)</f>
        <v>626</v>
      </c>
      <c r="D62" s="51">
        <f>IFERROR(SUMIFS(D_D[ADP],D_D[MT],1,D_D[CAT],D$1,D_D[EP],-1, D_D[LOC],$A62),0)</f>
        <v>104.86</v>
      </c>
      <c r="E62" s="52">
        <f>IFERROR(SUMIFS(D_D[INV],D_D[MT],2,D_D[CAT],TA_21,D_D[EP],-1, D_D[LOC],$A62),0)</f>
        <v>6769</v>
      </c>
      <c r="F62" s="53">
        <f>IFERROR(SUMIFS(D_D[BL],D_D[MT],2,D_D[CAT],TA_21,D_D[EP],-1, D_D[LOC],$A62),0)</f>
        <v>2004</v>
      </c>
      <c r="G62" s="54">
        <f t="shared" si="4"/>
        <v>0.29605554734820505</v>
      </c>
      <c r="H62" s="55">
        <f>IFERROR(SUMIFS(D_D[INV],D_D[MT],2,D_D[CAT],TA_22,D_D[EP],-1, D_D[LOC],$A62),0)</f>
        <v>2047</v>
      </c>
      <c r="I62" s="53">
        <f>IFERROR(SUMIFS(D_D[BL],D_D[MT],2,D_D[CAT],TA_22,D_D[EP],-1, D_D[LOC],$A62),0)</f>
        <v>853</v>
      </c>
      <c r="J62" s="54">
        <f t="shared" si="5"/>
        <v>0.41670737664875429</v>
      </c>
      <c r="K62" s="56">
        <f>IFERROR(SUMIFS(D_D[INV],D_D[MT],2,D_D[CAT],TA_23,D_D[EP],-1, D_D[LOC],$A62),0)</f>
        <v>51</v>
      </c>
      <c r="L62" s="57">
        <f>IFERROR(SUMIFS(D_D[BL],D_D[MT],2,D_D[CAT],TA_23,D_D[EP],-1, D_D[LOC],$A62),0)</f>
        <v>24</v>
      </c>
      <c r="M62" s="54">
        <f t="shared" si="6"/>
        <v>0.47058823529411764</v>
      </c>
      <c r="N62" s="56">
        <f>IFERROR(SUMIFS(D_D[INV],D_D[MT],2,D_D[CAT],TA_24,D_D[EP],-1, D_D[LOC],$A62),0)</f>
        <v>972</v>
      </c>
      <c r="O62" s="57">
        <f>IFERROR(SUMIFS(D_D[BL],D_D[MT],2,D_D[CAT],TA_24,D_D[EP],-1, D_D[LOC],$A62),0)</f>
        <v>551</v>
      </c>
      <c r="P62" s="54">
        <f t="shared" si="7"/>
        <v>0.5668724279835391</v>
      </c>
      <c r="Q62" s="58">
        <f>IFERROR(SUMIFS(D_D[INV],D_D[MT],2,D_D[CAT],TA_25,D_D[EP],-1, D_D[LOC],$A62),0)</f>
        <v>0</v>
      </c>
      <c r="R62" s="58">
        <f>IFERROR(SUMIFS(D_D[INV],D_D[MT],2,D_D[CAT],TA_26,D_D[EP],-1, D_D[LOC],$A62),0)</f>
        <v>66</v>
      </c>
      <c r="S62" s="40">
        <f>IFERROR(SUMIFS(D_D[INV],D_D[MT],7,D_D[CAT],2,D_D[EP],TA_20, D_D[LOC],$A62),0)</f>
        <v>7271</v>
      </c>
      <c r="T62" s="230"/>
    </row>
    <row r="63" spans="1:20" x14ac:dyDescent="0.2">
      <c r="A63" s="9" t="s">
        <v>149</v>
      </c>
      <c r="B63" s="97" t="s">
        <v>48</v>
      </c>
      <c r="C63" s="50">
        <f>IFERROR(SUMIFS(D_D[INV],D_D[MT],1,D_D[CAT],TA_20,D_D[EP],-1, D_D[LOC],$A63),0)</f>
        <v>140</v>
      </c>
      <c r="D63" s="51">
        <f>IFERROR(SUMIFS(D_D[ADP],D_D[MT],1,D_D[CAT],D$1,D_D[EP],-1, D_D[LOC],$A63),0)</f>
        <v>90.13</v>
      </c>
      <c r="E63" s="52">
        <f>IFERROR(SUMIFS(D_D[INV],D_D[MT],2,D_D[CAT],TA_21,D_D[EP],-1, D_D[LOC],$A63),0)</f>
        <v>429</v>
      </c>
      <c r="F63" s="53">
        <f>IFERROR(SUMIFS(D_D[BL],D_D[MT],2,D_D[CAT],TA_21,D_D[EP],-1, D_D[LOC],$A63),0)</f>
        <v>139</v>
      </c>
      <c r="G63" s="54">
        <f t="shared" si="4"/>
        <v>0.32400932400932403</v>
      </c>
      <c r="H63" s="55">
        <f>IFERROR(SUMIFS(D_D[INV],D_D[MT],2,D_D[CAT],TA_22,D_D[EP],-1, D_D[LOC],$A63),0)</f>
        <v>383</v>
      </c>
      <c r="I63" s="53">
        <f>IFERROR(SUMIFS(D_D[BL],D_D[MT],2,D_D[CAT],TA_22,D_D[EP],-1, D_D[LOC],$A63),0)</f>
        <v>75</v>
      </c>
      <c r="J63" s="54">
        <f t="shared" si="5"/>
        <v>0.195822454308094</v>
      </c>
      <c r="K63" s="56">
        <f>IFERROR(SUMIFS(D_D[INV],D_D[MT],2,D_D[CAT],TA_23,D_D[EP],-1, D_D[LOC],$A63),0)</f>
        <v>341</v>
      </c>
      <c r="L63" s="57">
        <f>IFERROR(SUMIFS(D_D[BL],D_D[MT],2,D_D[CAT],TA_23,D_D[EP],-1, D_D[LOC],$A63),0)</f>
        <v>30</v>
      </c>
      <c r="M63" s="54">
        <f t="shared" si="6"/>
        <v>8.797653958944282E-2</v>
      </c>
      <c r="N63" s="56">
        <f>IFERROR(SUMIFS(D_D[INV],D_D[MT],2,D_D[CAT],TA_24,D_D[EP],-1, D_D[LOC],$A63),0)</f>
        <v>150</v>
      </c>
      <c r="O63" s="57">
        <f>IFERROR(SUMIFS(D_D[BL],D_D[MT],2,D_D[CAT],TA_24,D_D[EP],-1, D_D[LOC],$A63),0)</f>
        <v>67</v>
      </c>
      <c r="P63" s="54">
        <f t="shared" si="7"/>
        <v>0.44666666666666666</v>
      </c>
      <c r="Q63" s="58">
        <f>IFERROR(SUMIFS(D_D[INV],D_D[MT],2,D_D[CAT],TA_25,D_D[EP],-1, D_D[LOC],$A63),0)</f>
        <v>58</v>
      </c>
      <c r="R63" s="58">
        <f>IFERROR(SUMIFS(D_D[INV],D_D[MT],2,D_D[CAT],TA_26,D_D[EP],-1, D_D[LOC],$A63),0)</f>
        <v>128</v>
      </c>
      <c r="S63" s="40">
        <f>IFERROR(SUMIFS(D_D[INV],D_D[MT],7,D_D[CAT],2,D_D[EP],TA_20, D_D[LOC],$A63),0)</f>
        <v>2275</v>
      </c>
      <c r="T63" s="230"/>
    </row>
    <row r="64" spans="1:20" x14ac:dyDescent="0.2">
      <c r="A64" s="9" t="s">
        <v>138</v>
      </c>
      <c r="B64" s="97" t="s">
        <v>55</v>
      </c>
      <c r="C64" s="50">
        <f>IFERROR(SUMIFS(D_D[INV],D_D[MT],1,D_D[CAT],TA_20,D_D[EP],-1, D_D[LOC],$A64),0)</f>
        <v>672</v>
      </c>
      <c r="D64" s="51">
        <f>IFERROR(SUMIFS(D_D[ADP],D_D[MT],1,D_D[CAT],D$1,D_D[EP],-1, D_D[LOC],$A64),0)</f>
        <v>100.37</v>
      </c>
      <c r="E64" s="52">
        <f>IFERROR(SUMIFS(D_D[INV],D_D[MT],2,D_D[CAT],TA_21,D_D[EP],-1, D_D[LOC],$A64),0)</f>
        <v>7577</v>
      </c>
      <c r="F64" s="53">
        <f>IFERROR(SUMIFS(D_D[BL],D_D[MT],2,D_D[CAT],TA_21,D_D[EP],-1, D_D[LOC],$A64),0)</f>
        <v>2404</v>
      </c>
      <c r="G64" s="54">
        <f t="shared" si="4"/>
        <v>0.31727596674145442</v>
      </c>
      <c r="H64" s="55">
        <f>IFERROR(SUMIFS(D_D[INV],D_D[MT],2,D_D[CAT],TA_22,D_D[EP],-1, D_D[LOC],$A64),0)</f>
        <v>1784</v>
      </c>
      <c r="I64" s="53">
        <f>IFERROR(SUMIFS(D_D[BL],D_D[MT],2,D_D[CAT],TA_22,D_D[EP],-1, D_D[LOC],$A64),0)</f>
        <v>796</v>
      </c>
      <c r="J64" s="54">
        <f t="shared" si="5"/>
        <v>0.4461883408071749</v>
      </c>
      <c r="K64" s="56">
        <f>IFERROR(SUMIFS(D_D[INV],D_D[MT],2,D_D[CAT],TA_23,D_D[EP],-1, D_D[LOC],$A64),0)</f>
        <v>160</v>
      </c>
      <c r="L64" s="57">
        <f>IFERROR(SUMIFS(D_D[BL],D_D[MT],2,D_D[CAT],TA_23,D_D[EP],-1, D_D[LOC],$A64),0)</f>
        <v>35</v>
      </c>
      <c r="M64" s="54">
        <f t="shared" si="6"/>
        <v>0.21875</v>
      </c>
      <c r="N64" s="56">
        <f>IFERROR(SUMIFS(D_D[INV],D_D[MT],2,D_D[CAT],TA_24,D_D[EP],-1, D_D[LOC],$A64),0)</f>
        <v>814</v>
      </c>
      <c r="O64" s="57">
        <f>IFERROR(SUMIFS(D_D[BL],D_D[MT],2,D_D[CAT],TA_24,D_D[EP],-1, D_D[LOC],$A64),0)</f>
        <v>570</v>
      </c>
      <c r="P64" s="54">
        <f t="shared" si="7"/>
        <v>0.70024570024570021</v>
      </c>
      <c r="Q64" s="58">
        <f>IFERROR(SUMIFS(D_D[INV],D_D[MT],2,D_D[CAT],TA_25,D_D[EP],-1, D_D[LOC],$A64),0)</f>
        <v>0</v>
      </c>
      <c r="R64" s="58">
        <f>IFERROR(SUMIFS(D_D[INV],D_D[MT],2,D_D[CAT],TA_26,D_D[EP],-1, D_D[LOC],$A64),0)</f>
        <v>71</v>
      </c>
      <c r="S64" s="40">
        <f>IFERROR(SUMIFS(D_D[INV],D_D[MT],7,D_D[CAT],2,D_D[EP],TA_20, D_D[LOC],$A64),0)</f>
        <v>1070</v>
      </c>
      <c r="T64" s="230"/>
    </row>
    <row r="65" spans="1:20" x14ac:dyDescent="0.2">
      <c r="A65" s="9" t="s">
        <v>140</v>
      </c>
      <c r="B65" s="97" t="s">
        <v>57</v>
      </c>
      <c r="C65" s="50">
        <f>IFERROR(SUMIFS(D_D[INV],D_D[MT],1,D_D[CAT],TA_20,D_D[EP],-1, D_D[LOC],$A65),0)</f>
        <v>406</v>
      </c>
      <c r="D65" s="51">
        <f>IFERROR(SUMIFS(D_D[ADP],D_D[MT],1,D_D[CAT],D$1,D_D[EP],-1, D_D[LOC],$A65),0)</f>
        <v>108.16</v>
      </c>
      <c r="E65" s="52">
        <f>IFERROR(SUMIFS(D_D[INV],D_D[MT],2,D_D[CAT],TA_21,D_D[EP],-1, D_D[LOC],$A65),0)</f>
        <v>4524</v>
      </c>
      <c r="F65" s="53">
        <f>IFERROR(SUMIFS(D_D[BL],D_D[MT],2,D_D[CAT],TA_21,D_D[EP],-1, D_D[LOC],$A65),0)</f>
        <v>1341</v>
      </c>
      <c r="G65" s="54">
        <f t="shared" si="4"/>
        <v>0.29641909814323608</v>
      </c>
      <c r="H65" s="55">
        <f>IFERROR(SUMIFS(D_D[INV],D_D[MT],2,D_D[CAT],TA_22,D_D[EP],-1, D_D[LOC],$A65),0)</f>
        <v>2112</v>
      </c>
      <c r="I65" s="53">
        <f>IFERROR(SUMIFS(D_D[BL],D_D[MT],2,D_D[CAT],TA_22,D_D[EP],-1, D_D[LOC],$A65),0)</f>
        <v>961</v>
      </c>
      <c r="J65" s="54">
        <f t="shared" si="5"/>
        <v>0.45501893939393939</v>
      </c>
      <c r="K65" s="56">
        <f>IFERROR(SUMIFS(D_D[INV],D_D[MT],2,D_D[CAT],TA_23,D_D[EP],-1, D_D[LOC],$A65),0)</f>
        <v>383</v>
      </c>
      <c r="L65" s="57">
        <f>IFERROR(SUMIFS(D_D[BL],D_D[MT],2,D_D[CAT],TA_23,D_D[EP],-1, D_D[LOC],$A65),0)</f>
        <v>126</v>
      </c>
      <c r="M65" s="54">
        <f t="shared" si="6"/>
        <v>0.32898172323759789</v>
      </c>
      <c r="N65" s="56">
        <f>IFERROR(SUMIFS(D_D[INV],D_D[MT],2,D_D[CAT],TA_24,D_D[EP],-1, D_D[LOC],$A65),0)</f>
        <v>859</v>
      </c>
      <c r="O65" s="57">
        <f>IFERROR(SUMIFS(D_D[BL],D_D[MT],2,D_D[CAT],TA_24,D_D[EP],-1, D_D[LOC],$A65),0)</f>
        <v>583</v>
      </c>
      <c r="P65" s="54">
        <f t="shared" si="7"/>
        <v>0.67869615832363217</v>
      </c>
      <c r="Q65" s="58">
        <f>IFERROR(SUMIFS(D_D[INV],D_D[MT],2,D_D[CAT],TA_25,D_D[EP],-1, D_D[LOC],$A65),0)</f>
        <v>1</v>
      </c>
      <c r="R65" s="58">
        <f>IFERROR(SUMIFS(D_D[INV],D_D[MT],2,D_D[CAT],TA_26,D_D[EP],-1, D_D[LOC],$A65),0)</f>
        <v>60</v>
      </c>
      <c r="S65" s="40">
        <f>IFERROR(SUMIFS(D_D[INV],D_D[MT],7,D_D[CAT],2,D_D[EP],TA_20, D_D[LOC],$A65),0)</f>
        <v>2009</v>
      </c>
      <c r="T65" s="230"/>
    </row>
    <row r="66" spans="1:20" x14ac:dyDescent="0.2">
      <c r="A66" s="9" t="s">
        <v>143</v>
      </c>
      <c r="B66" s="97" t="s">
        <v>59</v>
      </c>
      <c r="C66" s="50">
        <f>IFERROR(SUMIFS(D_D[INV],D_D[MT],1,D_D[CAT],TA_20,D_D[EP],-1, D_D[LOC],$A66),0)</f>
        <v>671</v>
      </c>
      <c r="D66" s="51">
        <f>IFERROR(SUMIFS(D_D[ADP],D_D[MT],1,D_D[CAT],D$1,D_D[EP],-1, D_D[LOC],$A66),0)</f>
        <v>71.2</v>
      </c>
      <c r="E66" s="52">
        <f>IFERROR(SUMIFS(D_D[INV],D_D[MT],2,D_D[CAT],TA_21,D_D[EP],-1, D_D[LOC],$A66),0)</f>
        <v>5479</v>
      </c>
      <c r="F66" s="53">
        <f>IFERROR(SUMIFS(D_D[BL],D_D[MT],2,D_D[CAT],TA_21,D_D[EP],-1, D_D[LOC],$A66),0)</f>
        <v>1009</v>
      </c>
      <c r="G66" s="54">
        <f t="shared" si="4"/>
        <v>0.1841576930096733</v>
      </c>
      <c r="H66" s="55">
        <f>IFERROR(SUMIFS(D_D[INV],D_D[MT],2,D_D[CAT],TA_22,D_D[EP],-1, D_D[LOC],$A66),0)</f>
        <v>1743</v>
      </c>
      <c r="I66" s="53">
        <f>IFERROR(SUMIFS(D_D[BL],D_D[MT],2,D_D[CAT],TA_22,D_D[EP],-1, D_D[LOC],$A66),0)</f>
        <v>635</v>
      </c>
      <c r="J66" s="54">
        <f t="shared" si="5"/>
        <v>0.36431440045897878</v>
      </c>
      <c r="K66" s="56">
        <f>IFERROR(SUMIFS(D_D[INV],D_D[MT],2,D_D[CAT],TA_23,D_D[EP],-1, D_D[LOC],$A66),0)</f>
        <v>19</v>
      </c>
      <c r="L66" s="57">
        <f>IFERROR(SUMIFS(D_D[BL],D_D[MT],2,D_D[CAT],TA_23,D_D[EP],-1, D_D[LOC],$A66),0)</f>
        <v>10</v>
      </c>
      <c r="M66" s="54">
        <f t="shared" si="6"/>
        <v>0.52631578947368418</v>
      </c>
      <c r="N66" s="56">
        <f>IFERROR(SUMIFS(D_D[INV],D_D[MT],2,D_D[CAT],TA_24,D_D[EP],-1, D_D[LOC],$A66),0)</f>
        <v>702</v>
      </c>
      <c r="O66" s="57">
        <f>IFERROR(SUMIFS(D_D[BL],D_D[MT],2,D_D[CAT],TA_24,D_D[EP],-1, D_D[LOC],$A66),0)</f>
        <v>344</v>
      </c>
      <c r="P66" s="54">
        <f t="shared" si="7"/>
        <v>0.49002849002849003</v>
      </c>
      <c r="Q66" s="58">
        <f>IFERROR(SUMIFS(D_D[INV],D_D[MT],2,D_D[CAT],TA_25,D_D[EP],-1, D_D[LOC],$A66),0)</f>
        <v>3</v>
      </c>
      <c r="R66" s="58">
        <f>IFERROR(SUMIFS(D_D[INV],D_D[MT],2,D_D[CAT],TA_26,D_D[EP],-1, D_D[LOC],$A66),0)</f>
        <v>92</v>
      </c>
      <c r="S66" s="40">
        <f>IFERROR(SUMIFS(D_D[INV],D_D[MT],7,D_D[CAT],2,D_D[EP],TA_20, D_D[LOC],$A66),0)</f>
        <v>6124</v>
      </c>
      <c r="T66" s="230"/>
    </row>
    <row r="67" spans="1:20" x14ac:dyDescent="0.2">
      <c r="A67" s="9" t="s">
        <v>147</v>
      </c>
      <c r="B67" s="97" t="s">
        <v>61</v>
      </c>
      <c r="C67" s="50">
        <f>IFERROR(SUMIFS(D_D[INV],D_D[MT],1,D_D[CAT],TA_20,D_D[EP],-1, D_D[LOC],$A67),0)</f>
        <v>209</v>
      </c>
      <c r="D67" s="51">
        <f>IFERROR(SUMIFS(D_D[ADP],D_D[MT],1,D_D[CAT],D$1,D_D[EP],-1, D_D[LOC],$A67),0)</f>
        <v>114.68</v>
      </c>
      <c r="E67" s="52">
        <f>IFERROR(SUMIFS(D_D[INV],D_D[MT],2,D_D[CAT],TA_21,D_D[EP],-1, D_D[LOC],$A67),0)</f>
        <v>2810</v>
      </c>
      <c r="F67" s="53">
        <f>IFERROR(SUMIFS(D_D[BL],D_D[MT],2,D_D[CAT],TA_21,D_D[EP],-1, D_D[LOC],$A67),0)</f>
        <v>1053</v>
      </c>
      <c r="G67" s="54">
        <f t="shared" si="4"/>
        <v>0.37473309608540928</v>
      </c>
      <c r="H67" s="55">
        <f>IFERROR(SUMIFS(D_D[INV],D_D[MT],2,D_D[CAT],TA_22,D_D[EP],-1, D_D[LOC],$A67),0)</f>
        <v>869</v>
      </c>
      <c r="I67" s="53">
        <f>IFERROR(SUMIFS(D_D[BL],D_D[MT],2,D_D[CAT],TA_22,D_D[EP],-1, D_D[LOC],$A67),0)</f>
        <v>456</v>
      </c>
      <c r="J67" s="54">
        <f t="shared" si="5"/>
        <v>0.52474108170310707</v>
      </c>
      <c r="K67" s="56">
        <f>IFERROR(SUMIFS(D_D[INV],D_D[MT],2,D_D[CAT],TA_23,D_D[EP],-1, D_D[LOC],$A67),0)</f>
        <v>20</v>
      </c>
      <c r="L67" s="57">
        <f>IFERROR(SUMIFS(D_D[BL],D_D[MT],2,D_D[CAT],TA_23,D_D[EP],-1, D_D[LOC],$A67),0)</f>
        <v>13</v>
      </c>
      <c r="M67" s="54">
        <f t="shared" si="6"/>
        <v>0.65</v>
      </c>
      <c r="N67" s="56">
        <f>IFERROR(SUMIFS(D_D[INV],D_D[MT],2,D_D[CAT],TA_24,D_D[EP],-1, D_D[LOC],$A67),0)</f>
        <v>325</v>
      </c>
      <c r="O67" s="57">
        <f>IFERROR(SUMIFS(D_D[BL],D_D[MT],2,D_D[CAT],TA_24,D_D[EP],-1, D_D[LOC],$A67),0)</f>
        <v>214</v>
      </c>
      <c r="P67" s="54">
        <f t="shared" si="7"/>
        <v>0.65846153846153843</v>
      </c>
      <c r="Q67" s="58">
        <f>IFERROR(SUMIFS(D_D[INV],D_D[MT],2,D_D[CAT],TA_25,D_D[EP],-1, D_D[LOC],$A67),0)</f>
        <v>0</v>
      </c>
      <c r="R67" s="58">
        <f>IFERROR(SUMIFS(D_D[INV],D_D[MT],2,D_D[CAT],TA_26,D_D[EP],-1, D_D[LOC],$A67),0)</f>
        <v>84</v>
      </c>
      <c r="S67" s="40">
        <f>IFERROR(SUMIFS(D_D[INV],D_D[MT],7,D_D[CAT],2,D_D[EP],TA_20, D_D[LOC],$A67),0)</f>
        <v>2767</v>
      </c>
      <c r="T67" s="230"/>
    </row>
    <row r="68" spans="1:20" x14ac:dyDescent="0.2">
      <c r="A68" s="9" t="s">
        <v>137</v>
      </c>
      <c r="B68" s="97" t="s">
        <v>63</v>
      </c>
      <c r="C68" s="50">
        <f>IFERROR(SUMIFS(D_D[INV],D_D[MT],1,D_D[CAT],TA_20,D_D[EP],-1, D_D[LOC],$A68),0)</f>
        <v>3283</v>
      </c>
      <c r="D68" s="51">
        <f>IFERROR(SUMIFS(D_D[ADP],D_D[MT],1,D_D[CAT],D$1,D_D[EP],-1, D_D[LOC],$A68),0)</f>
        <v>117.44</v>
      </c>
      <c r="E68" s="52">
        <f>IFERROR(SUMIFS(D_D[INV],D_D[MT],2,D_D[CAT],TA_21,D_D[EP],-1, D_D[LOC],$A68),0)</f>
        <v>3803</v>
      </c>
      <c r="F68" s="53">
        <f>IFERROR(SUMIFS(D_D[BL],D_D[MT],2,D_D[CAT],TA_21,D_D[EP],-1, D_D[LOC],$A68),0)</f>
        <v>764</v>
      </c>
      <c r="G68" s="54">
        <f t="shared" si="4"/>
        <v>0.20089403102813569</v>
      </c>
      <c r="H68" s="55">
        <f>IFERROR(SUMIFS(D_D[INV],D_D[MT],2,D_D[CAT],TA_22,D_D[EP],-1, D_D[LOC],$A68),0)</f>
        <v>9329</v>
      </c>
      <c r="I68" s="53">
        <f>IFERROR(SUMIFS(D_D[BL],D_D[MT],2,D_D[CAT],TA_22,D_D[EP],-1, D_D[LOC],$A68),0)</f>
        <v>1874</v>
      </c>
      <c r="J68" s="54">
        <f t="shared" si="5"/>
        <v>0.20087897952620859</v>
      </c>
      <c r="K68" s="56">
        <f>IFERROR(SUMIFS(D_D[INV],D_D[MT],2,D_D[CAT],TA_23,D_D[EP],-1, D_D[LOC],$A68),0)</f>
        <v>272</v>
      </c>
      <c r="L68" s="57">
        <f>IFERROR(SUMIFS(D_D[BL],D_D[MT],2,D_D[CAT],TA_23,D_D[EP],-1, D_D[LOC],$A68),0)</f>
        <v>181</v>
      </c>
      <c r="M68" s="54">
        <f t="shared" si="6"/>
        <v>0.6654411764705882</v>
      </c>
      <c r="N68" s="56">
        <f>IFERROR(SUMIFS(D_D[INV],D_D[MT],2,D_D[CAT],TA_24,D_D[EP],-1, D_D[LOC],$A68),0)</f>
        <v>530</v>
      </c>
      <c r="O68" s="57">
        <f>IFERROR(SUMIFS(D_D[BL],D_D[MT],2,D_D[CAT],TA_24,D_D[EP],-1, D_D[LOC],$A68),0)</f>
        <v>401</v>
      </c>
      <c r="P68" s="54">
        <f t="shared" si="7"/>
        <v>0.75660377358490571</v>
      </c>
      <c r="Q68" s="58">
        <f>IFERROR(SUMIFS(D_D[INV],D_D[MT],2,D_D[CAT],TA_25,D_D[EP],-1, D_D[LOC],$A68),0)</f>
        <v>1</v>
      </c>
      <c r="R68" s="58">
        <f>IFERROR(SUMIFS(D_D[INV],D_D[MT],2,D_D[CAT],TA_26,D_D[EP],-1, D_D[LOC],$A68),0)</f>
        <v>6</v>
      </c>
      <c r="S68" s="40">
        <f>IFERROR(SUMIFS(D_D[INV],D_D[MT],7,D_D[CAT],2,D_D[EP],TA_20, D_D[LOC],$A68),0)</f>
        <v>4085</v>
      </c>
      <c r="T68" s="230"/>
    </row>
    <row r="69" spans="1:20" x14ac:dyDescent="0.2">
      <c r="A69" s="9" t="s">
        <v>152</v>
      </c>
      <c r="B69" s="97" t="s">
        <v>64</v>
      </c>
      <c r="C69" s="50">
        <f>IFERROR(SUMIFS(D_D[INV],D_D[MT],1,D_D[CAT],TA_20,D_D[EP],-1, D_D[LOC],$A69),0)</f>
        <v>1684</v>
      </c>
      <c r="D69" s="51">
        <f>IFERROR(SUMIFS(D_D[ADP],D_D[MT],1,D_D[CAT],D$1,D_D[EP],-1, D_D[LOC],$A69),0)</f>
        <v>100.7</v>
      </c>
      <c r="E69" s="52">
        <f>IFERROR(SUMIFS(D_D[INV],D_D[MT],2,D_D[CAT],TA_21,D_D[EP],-1, D_D[LOC],$A69),0)</f>
        <v>12433</v>
      </c>
      <c r="F69" s="53">
        <f>IFERROR(SUMIFS(D_D[BL],D_D[MT],2,D_D[CAT],TA_21,D_D[EP],-1, D_D[LOC],$A69),0)</f>
        <v>2702</v>
      </c>
      <c r="G69" s="54">
        <f t="shared" ref="G69:G70" si="16">IFERROR(F69/E69,"0%")</f>
        <v>0.21732486125633396</v>
      </c>
      <c r="H69" s="55">
        <f>IFERROR(SUMIFS(D_D[INV],D_D[MT],2,D_D[CAT],TA_22,D_D[EP],-1, D_D[LOC],$A69),0)</f>
        <v>6987</v>
      </c>
      <c r="I69" s="53">
        <f>IFERROR(SUMIFS(D_D[BL],D_D[MT],2,D_D[CAT],TA_22,D_D[EP],-1, D_D[LOC],$A69),0)</f>
        <v>1704</v>
      </c>
      <c r="J69" s="54">
        <f t="shared" ref="J69:J70" si="17">IFERROR(I69/H69,"0%")</f>
        <v>0.24388149420352082</v>
      </c>
      <c r="K69" s="56">
        <f>IFERROR(SUMIFS(D_D[INV],D_D[MT],2,D_D[CAT],TA_23,D_D[EP],-1, D_D[LOC],$A69),0)</f>
        <v>434</v>
      </c>
      <c r="L69" s="57">
        <f>IFERROR(SUMIFS(D_D[BL],D_D[MT],2,D_D[CAT],TA_23,D_D[EP],-1, D_D[LOC],$A69),0)</f>
        <v>193</v>
      </c>
      <c r="M69" s="54">
        <f t="shared" ref="M69:M70" si="18">IFERROR(L69/K69,"0%")</f>
        <v>0.4447004608294931</v>
      </c>
      <c r="N69" s="56">
        <f>IFERROR(SUMIFS(D_D[INV],D_D[MT],2,D_D[CAT],TA_24,D_D[EP],-1, D_D[LOC],$A69),0)</f>
        <v>1310</v>
      </c>
      <c r="O69" s="57">
        <f>IFERROR(SUMIFS(D_D[BL],D_D[MT],2,D_D[CAT],TA_24,D_D[EP],-1, D_D[LOC],$A69),0)</f>
        <v>897</v>
      </c>
      <c r="P69" s="54">
        <f t="shared" ref="P69:P70" si="19">IFERROR(O69/N69,"0%")</f>
        <v>0.68473282442748096</v>
      </c>
      <c r="Q69" s="58">
        <f>IFERROR(SUMIFS(D_D[INV],D_D[MT],2,D_D[CAT],TA_25,D_D[EP],-1, D_D[LOC],$A69),0)</f>
        <v>0</v>
      </c>
      <c r="R69" s="58">
        <f>IFERROR(SUMIFS(D_D[INV],D_D[MT],2,D_D[CAT],TA_26,D_D[EP],-1, D_D[LOC],$A69),0)</f>
        <v>35</v>
      </c>
      <c r="S69" s="40">
        <f>IFERROR(SUMIFS(D_D[INV],D_D[MT],7,D_D[CAT],2,D_D[EP],TA_20, D_D[LOC],$A69),0)</f>
        <v>1646</v>
      </c>
      <c r="T69" s="230"/>
    </row>
    <row r="70" spans="1:20" x14ac:dyDescent="0.2">
      <c r="A70" s="9" t="s">
        <v>141</v>
      </c>
      <c r="B70" s="97" t="s">
        <v>66</v>
      </c>
      <c r="C70" s="50">
        <f>IFERROR(SUMIFS(D_D[INV],D_D[MT],1,D_D[CAT],TA_20,D_D[EP],-1, D_D[LOC],$A70),0)</f>
        <v>1114</v>
      </c>
      <c r="D70" s="51">
        <f>IFERROR(SUMIFS(D_D[ADP],D_D[MT],1,D_D[CAT],D$1,D_D[EP],-1, D_D[LOC],$A70),0)</f>
        <v>105.46</v>
      </c>
      <c r="E70" s="52">
        <f>IFERROR(SUMIFS(D_D[INV],D_D[MT],2,D_D[CAT],TA_21,D_D[EP],-1, D_D[LOC],$A70),0)</f>
        <v>10008</v>
      </c>
      <c r="F70" s="53">
        <f>IFERROR(SUMIFS(D_D[BL],D_D[MT],2,D_D[CAT],TA_21,D_D[EP],-1, D_D[LOC],$A70),0)</f>
        <v>2006</v>
      </c>
      <c r="G70" s="54">
        <f t="shared" si="16"/>
        <v>0.20043964828137489</v>
      </c>
      <c r="H70" s="55">
        <f>IFERROR(SUMIFS(D_D[INV],D_D[MT],2,D_D[CAT],TA_22,D_D[EP],-1, D_D[LOC],$A70),0)</f>
        <v>3118</v>
      </c>
      <c r="I70" s="53">
        <f>IFERROR(SUMIFS(D_D[BL],D_D[MT],2,D_D[CAT],TA_22,D_D[EP],-1, D_D[LOC],$A70),0)</f>
        <v>1238</v>
      </c>
      <c r="J70" s="54">
        <f t="shared" si="17"/>
        <v>0.39704939063502243</v>
      </c>
      <c r="K70" s="56">
        <f>IFERROR(SUMIFS(D_D[INV],D_D[MT],2,D_D[CAT],TA_23,D_D[EP],-1, D_D[LOC],$A70),0)</f>
        <v>1937</v>
      </c>
      <c r="L70" s="57">
        <f>IFERROR(SUMIFS(D_D[BL],D_D[MT],2,D_D[CAT],TA_23,D_D[EP],-1, D_D[LOC],$A70),0)</f>
        <v>649</v>
      </c>
      <c r="M70" s="54">
        <f t="shared" si="18"/>
        <v>0.33505420753742904</v>
      </c>
      <c r="N70" s="56">
        <f>IFERROR(SUMIFS(D_D[INV],D_D[MT],2,D_D[CAT],TA_24,D_D[EP],-1, D_D[LOC],$A70),0)</f>
        <v>1379</v>
      </c>
      <c r="O70" s="57">
        <f>IFERROR(SUMIFS(D_D[BL],D_D[MT],2,D_D[CAT],TA_24,D_D[EP],-1, D_D[LOC],$A70),0)</f>
        <v>765</v>
      </c>
      <c r="P70" s="54">
        <f t="shared" si="19"/>
        <v>0.55474981870920959</v>
      </c>
      <c r="Q70" s="58">
        <f>IFERROR(SUMIFS(D_D[INV],D_D[MT],2,D_D[CAT],TA_25,D_D[EP],-1, D_D[LOC],$A70),0)</f>
        <v>2</v>
      </c>
      <c r="R70" s="58">
        <f>IFERROR(SUMIFS(D_D[INV],D_D[MT],2,D_D[CAT],TA_26,D_D[EP],-1, D_D[LOC],$A70),0)</f>
        <v>56</v>
      </c>
      <c r="S70" s="40">
        <f>IFERROR(SUMIFS(D_D[INV],D_D[MT],7,D_D[CAT],2,D_D[EP],TA_20, D_D[LOC],$A70),0)</f>
        <v>389</v>
      </c>
      <c r="T70" s="230"/>
    </row>
    <row r="71" spans="1:20" x14ac:dyDescent="0.2">
      <c r="A71" s="9">
        <v>35</v>
      </c>
      <c r="B71" s="228" t="s">
        <v>6</v>
      </c>
      <c r="C71" s="44">
        <f>IFERROR(SUMIFS(D_D[INV],D_D[MT],1,D_D[CAT],TA_20,D_D[EP],-1, D_D[LOC],$A71),0)</f>
        <v>9554</v>
      </c>
      <c r="D71" s="38">
        <f>IFERROR(SUMIFS(D_D[ADP],D_D[MT],1,D_D[CAT],D$1,D_D[EP],-1, D_D[LOC],$A71),0)</f>
        <v>51.51</v>
      </c>
      <c r="E71" s="45">
        <f>IFERROR(SUMIFS(D_D[INV],D_D[MT],2,D_D[CAT],TA_21,D_D[EP],-1, D_D[LOC],$A71),0)</f>
        <v>716</v>
      </c>
      <c r="F71" s="49">
        <f>IFERROR(SUMIFS(D_D[BL],D_D[MT],2,D_D[CAT],TA_21,D_D[EP],-1, D_D[LOC],$A71),0)</f>
        <v>233</v>
      </c>
      <c r="G71" s="46">
        <f t="shared" si="4"/>
        <v>0.32541899441340782</v>
      </c>
      <c r="H71" s="49">
        <f>IFERROR(SUMIFS(D_D[INV],D_D[MT],2,D_D[CAT],TA_22,D_D[EP],-1, D_D[LOC],$A71),0)</f>
        <v>111457</v>
      </c>
      <c r="I71" s="49">
        <f>IFERROR(SUMIFS(D_D[BL],D_D[MT],2,D_D[CAT],TA_22,D_D[EP],-1, D_D[LOC],$A71),0)</f>
        <v>635</v>
      </c>
      <c r="J71" s="46">
        <f t="shared" si="5"/>
        <v>5.6972644158733866E-3</v>
      </c>
      <c r="K71" s="44">
        <f>IFERROR(SUMIFS(D_D[INV],D_D[MT],2,D_D[CAT],TA_23,D_D[EP],-1, D_D[LOC],$A71),0)</f>
        <v>6180</v>
      </c>
      <c r="L71" s="44">
        <f>IFERROR(SUMIFS(D_D[BL],D_D[MT],2,D_D[CAT],TA_23,D_D[EP],-1, D_D[LOC],$A71),0)</f>
        <v>3655</v>
      </c>
      <c r="M71" s="46">
        <f t="shared" si="6"/>
        <v>0.59142394822006472</v>
      </c>
      <c r="N71" s="44">
        <f>IFERROR(SUMIFS(D_D[INV],D_D[MT],2,D_D[CAT],TA_24,D_D[EP],-1, D_D[LOC],$A71),0)</f>
        <v>9944</v>
      </c>
      <c r="O71" s="44">
        <f>IFERROR(SUMIFS(D_D[BL],D_D[MT],2,D_D[CAT],TA_24,D_D[EP],-1, D_D[LOC],$A71),0)</f>
        <v>301</v>
      </c>
      <c r="P71" s="46">
        <f t="shared" si="7"/>
        <v>3.0269509251810135E-2</v>
      </c>
      <c r="Q71" s="44">
        <f>IFERROR(SUMIFS(D_D[INV],D_D[MT],2,D_D[CAT],TA_25,D_D[EP],-1, D_D[LOC],$A71),0)</f>
        <v>633</v>
      </c>
      <c r="R71" s="47">
        <f>IFERROR(SUMIFS(D_D[INV],D_D[MT],2,D_D[CAT],TA_26,D_D[EP],-1, D_D[LOC],$A71),0)</f>
        <v>217</v>
      </c>
      <c r="S71" s="47">
        <f>IFERROR(SUMIFS(D_D[INV],D_D[MT],7,D_D[CAT],2,D_D[EP],TA_20, D_D[LOC],$A71),0)</f>
        <v>38929</v>
      </c>
      <c r="T71" s="230"/>
    </row>
    <row r="72" spans="1:20" x14ac:dyDescent="0.2">
      <c r="A72" s="6"/>
      <c r="B72" s="230"/>
      <c r="C72" s="9"/>
      <c r="D72" s="9"/>
      <c r="E72" s="9"/>
      <c r="F72" s="9"/>
      <c r="G72" s="9"/>
      <c r="H72" s="9"/>
      <c r="I72" s="9"/>
      <c r="J72" s="9"/>
      <c r="K72" s="9"/>
      <c r="L72" s="9"/>
      <c r="M72" s="9"/>
      <c r="N72" s="9"/>
      <c r="O72" s="9"/>
      <c r="P72" s="9"/>
      <c r="Q72" s="9"/>
      <c r="R72" s="9"/>
      <c r="S72" s="9"/>
      <c r="T72" s="230"/>
    </row>
    <row r="73" spans="1:20" ht="18" x14ac:dyDescent="0.25">
      <c r="A73" s="4"/>
      <c r="B73" s="7"/>
      <c r="C73" s="369" t="s">
        <v>424</v>
      </c>
      <c r="D73" s="370"/>
      <c r="E73" s="370"/>
      <c r="F73" s="370"/>
      <c r="G73" s="370"/>
      <c r="H73" s="370"/>
      <c r="I73" s="370"/>
      <c r="J73" s="370"/>
      <c r="K73" s="370"/>
      <c r="L73" s="370"/>
      <c r="M73" s="370"/>
      <c r="N73" s="370"/>
      <c r="O73" s="370"/>
      <c r="P73" s="370"/>
      <c r="Q73" s="370"/>
      <c r="R73" s="370"/>
      <c r="S73" s="371"/>
      <c r="T73" s="230"/>
    </row>
    <row r="74" spans="1:20" ht="20.100000000000001" customHeight="1" x14ac:dyDescent="0.2">
      <c r="A74" s="4"/>
      <c r="B74" s="231"/>
      <c r="C74" s="372" t="s">
        <v>180</v>
      </c>
      <c r="D74" s="373"/>
      <c r="E74" s="374" t="s">
        <v>418</v>
      </c>
      <c r="F74" s="375"/>
      <c r="G74" s="376"/>
      <c r="H74" s="374" t="s">
        <v>5</v>
      </c>
      <c r="I74" s="375"/>
      <c r="J74" s="376"/>
      <c r="K74" s="374" t="s">
        <v>419</v>
      </c>
      <c r="L74" s="375"/>
      <c r="M74" s="376"/>
      <c r="N74" s="374" t="s">
        <v>6</v>
      </c>
      <c r="O74" s="375"/>
      <c r="P74" s="376"/>
      <c r="Q74" s="135" t="s">
        <v>7</v>
      </c>
      <c r="R74" s="98" t="s">
        <v>8</v>
      </c>
      <c r="S74" s="98" t="s">
        <v>9</v>
      </c>
      <c r="T74" s="230"/>
    </row>
    <row r="75" spans="1:20" ht="38.25" x14ac:dyDescent="0.2">
      <c r="A75" s="22"/>
      <c r="B75" s="232"/>
      <c r="C75" s="233" t="s">
        <v>10</v>
      </c>
      <c r="D75" s="234" t="s">
        <v>107</v>
      </c>
      <c r="E75" s="235" t="s">
        <v>10</v>
      </c>
      <c r="F75" s="236" t="s">
        <v>1</v>
      </c>
      <c r="G75" s="237" t="s">
        <v>2</v>
      </c>
      <c r="H75" s="235" t="s">
        <v>10</v>
      </c>
      <c r="I75" s="236" t="s">
        <v>1</v>
      </c>
      <c r="J75" s="237" t="s">
        <v>2</v>
      </c>
      <c r="K75" s="235" t="s">
        <v>10</v>
      </c>
      <c r="L75" s="236" t="s">
        <v>1</v>
      </c>
      <c r="M75" s="237" t="s">
        <v>2</v>
      </c>
      <c r="N75" s="235" t="s">
        <v>10</v>
      </c>
      <c r="O75" s="236" t="s">
        <v>1</v>
      </c>
      <c r="P75" s="237" t="s">
        <v>2</v>
      </c>
      <c r="Q75" s="238" t="s">
        <v>10</v>
      </c>
      <c r="R75" s="238" t="s">
        <v>10</v>
      </c>
      <c r="S75" s="170" t="s">
        <v>355</v>
      </c>
      <c r="T75" s="230"/>
    </row>
    <row r="76" spans="1:20" x14ac:dyDescent="0.2">
      <c r="A76" s="23">
        <v>100</v>
      </c>
      <c r="B76" s="228" t="s">
        <v>352</v>
      </c>
      <c r="C76" s="49">
        <f>IFERROR(SUMIFS(D_D[INV],D_D[MT],1,D_D[CAT],TA_30,D_D[EP],-1, D_D[LOC],$A76),0)</f>
        <v>16469</v>
      </c>
      <c r="D76" s="34">
        <f>IFERROR(SUMIFS(D_D[ADP],D_D[MT],1,D_D[CAT],TA_30,D_D[EP],-1, D_D[LOC],$A76),0)</f>
        <v>93.41</v>
      </c>
      <c r="E76" s="49">
        <f>IFERROR(SUMIFS(D_D[INV],D_D[MT],2,D_D[CAT],TA_31,D_D[EP],-1, D_D[LOC],$A76),0)</f>
        <v>29407</v>
      </c>
      <c r="F76" s="49">
        <f>IFERROR(SUMIFS(D_D[BL],D_D[MT],2,D_D[CAT],TA_31,D_D[EP],-1, D_D[LOC],$A76),0)</f>
        <v>7785</v>
      </c>
      <c r="G76" s="46">
        <f t="shared" ref="G76" si="20">IFERROR(F76/E76,"0%")</f>
        <v>0.26473288672764989</v>
      </c>
      <c r="H76" s="49">
        <f>IFERROR(SUMIFS(D_D[INV],D_D[MT],2,D_D[CAT],TA_32,D_D[EP],-1, D_D[LOC],$A76),0)</f>
        <v>18116</v>
      </c>
      <c r="I76" s="49">
        <f>IFERROR(SUMIFS(D_D[BL],D_D[MT],2,D_D[CAT],TA_32,D_D[EP],-1, D_D[LOC],$A76),0)</f>
        <v>3316</v>
      </c>
      <c r="J76" s="46">
        <f t="shared" ref="J76" si="21">IFERROR(I76/H76,"0%")</f>
        <v>0.18304261426363436</v>
      </c>
      <c r="K76" s="49">
        <f>IFERROR(SUMIFS(D_D[INV],D_D[MT],2,D_D[CAT],TA_33,D_D[EP],-1, D_D[LOC],$A76),0)</f>
        <v>32867</v>
      </c>
      <c r="L76" s="49">
        <f>IFERROR(SUMIFS(D_D[BL],D_D[MT],2,D_D[CAT],TA_33,D_D[EP],-1, D_D[LOC],$A76),0)</f>
        <v>43</v>
      </c>
      <c r="M76" s="46">
        <f t="shared" ref="M76" si="22">IFERROR(L76/K76,"0%")</f>
        <v>1.3083031612255453E-3</v>
      </c>
      <c r="N76" s="49">
        <f>IFERROR(SUMIFS(D_D[INV],D_D[MT],2,D_D[CAT],TA_34,D_D[EP],-1, D_D[LOC],$A76),0)</f>
        <v>192</v>
      </c>
      <c r="O76" s="49">
        <f>IFERROR(SUMIFS(D_D[BL],D_D[MT],2,D_D[CAT],TA_34,D_D[EP],-1, D_D[LOC],$A76),0)</f>
        <v>56</v>
      </c>
      <c r="P76" s="46">
        <f t="shared" ref="P76" si="23">IFERROR(O76/N76,"0%")</f>
        <v>0.29166666666666669</v>
      </c>
      <c r="Q76" s="49">
        <f>IFERROR(SUMIFS(D_D[INV],D_D[MT],2,D_D[CAT],TA_35,D_D[EP],-1, D_D[LOC],$A76),0)</f>
        <v>18</v>
      </c>
      <c r="R76" s="70">
        <f>IFERROR(SUMIFS(D_D[INV],D_D[MT],2,D_D[CAT],TA_36,D_D[EP],-1, D_D[LOC],$A76),0)</f>
        <v>7144</v>
      </c>
      <c r="S76" s="70">
        <f>IFERROR(SUMIFS(D_D[INV],D_D[MT],7,D_D[CAT],2,D_D[EP],TA_30, D_D[LOC],$A76),0)</f>
        <v>2348</v>
      </c>
      <c r="T76" s="230"/>
    </row>
    <row r="77" spans="1:20" x14ac:dyDescent="0.2">
      <c r="A77" s="24" t="s">
        <v>86</v>
      </c>
      <c r="B77" s="239" t="s">
        <v>176</v>
      </c>
      <c r="C77" s="68">
        <f>IFERROR(SUMIFS(D_D[INV],D_D[MT],1,D_D[CAT],TA_30,D_D[EP],-1, D_D[LOC],$A77),0)</f>
        <v>5134</v>
      </c>
      <c r="D77" s="51">
        <f>IFERROR(SUMIFS(D_D[ADP],D_D[MT],1,D_D[CAT],TA_30,D_D[EP],-1, D_D[LOC],$A77),0)</f>
        <v>92.24</v>
      </c>
      <c r="E77" s="68">
        <f>IFERROR(SUMIFS(D_D[INV],D_D[MT],2,D_D[CAT],TA_31,D_D[EP],-1, D_D[LOC],$A77),0)</f>
        <v>11786</v>
      </c>
      <c r="F77" s="68">
        <f>IFERROR(SUMIFS(D_D[BL],D_D[MT],2,D_D[CAT],TA_31,D_D[EP],-1, D_D[LOC],$A77),0)</f>
        <v>3732</v>
      </c>
      <c r="G77" s="54">
        <f t="shared" ref="G77:G80" si="24">IFERROR(F77/E77,"0%")</f>
        <v>0.31664686916680806</v>
      </c>
      <c r="H77" s="68">
        <f>IFERROR(SUMIFS(D_D[INV],D_D[MT],2,D_D[CAT],TA_32,D_D[EP],-1, D_D[LOC],$A77),0)</f>
        <v>5793</v>
      </c>
      <c r="I77" s="68">
        <f>IFERROR(SUMIFS(D_D[BL],D_D[MT],2,D_D[CAT],TA_32,D_D[EP],-1, D_D[LOC],$A77),0)</f>
        <v>1165</v>
      </c>
      <c r="J77" s="54">
        <f t="shared" ref="J77:J80" si="25">IFERROR(I77/H77,"0%")</f>
        <v>0.20110478163300535</v>
      </c>
      <c r="K77" s="68">
        <f>IFERROR(SUMIFS(D_D[INV],D_D[MT],2,D_D[CAT],TA_33,D_D[EP],-1, D_D[LOC],$A77),0)</f>
        <v>12020</v>
      </c>
      <c r="L77" s="68">
        <f>IFERROR(SUMIFS(D_D[BL],D_D[MT],2,D_D[CAT],TA_33,D_D[EP],-1, D_D[LOC],$A77),0)</f>
        <v>10</v>
      </c>
      <c r="M77" s="54">
        <f t="shared" ref="M77:M80" si="26">IFERROR(L77/K77,"0%")</f>
        <v>8.3194675540765393E-4</v>
      </c>
      <c r="N77" s="68">
        <f>IFERROR(SUMIFS(D_D[INV],D_D[MT],2,D_D[CAT],TA_34,D_D[EP],-1, D_D[LOC],$A77),0)</f>
        <v>1</v>
      </c>
      <c r="O77" s="68">
        <f>IFERROR(SUMIFS(D_D[BL],D_D[MT],2,D_D[CAT],TA_34,D_D[EP],-1, D_D[LOC],$A77),0)</f>
        <v>1</v>
      </c>
      <c r="P77" s="54">
        <f t="shared" ref="P77:P80" si="27">IFERROR(O77/N77,"0%")</f>
        <v>1</v>
      </c>
      <c r="Q77" s="68">
        <f>IFERROR(SUMIFS(D_D[INV],D_D[MT],2,D_D[CAT],TA_35,D_D[EP],-1, D_D[LOC],$A77),0)</f>
        <v>15</v>
      </c>
      <c r="R77" s="68">
        <f>IFERROR(SUMIFS(D_D[INV],D_D[MT],2,D_D[CAT],TA_36,D_D[EP],-1, D_D[LOC],$A77),0)</f>
        <v>2310</v>
      </c>
      <c r="S77" s="69">
        <f>IFERROR(SUMIFS(D_D[INV],D_D[MT],7,D_D[CAT],2,D_D[EP],TA_30, D_D[LOC],$A77),0)</f>
        <v>788</v>
      </c>
      <c r="T77" s="230"/>
    </row>
    <row r="78" spans="1:20" x14ac:dyDescent="0.2">
      <c r="A78" s="24" t="s">
        <v>130</v>
      </c>
      <c r="B78" s="239" t="s">
        <v>175</v>
      </c>
      <c r="C78" s="68">
        <f>IFERROR(SUMIFS(D_D[INV],D_D[MT],1,D_D[CAT],TA_30,D_D[EP],-1, D_D[LOC],$A78),0)</f>
        <v>5229</v>
      </c>
      <c r="D78" s="51">
        <f>IFERROR(SUMIFS(D_D[ADP],D_D[MT],1,D_D[CAT],TA_30,D_D[EP],-1, D_D[LOC],$A78),0)</f>
        <v>85.01</v>
      </c>
      <c r="E78" s="68">
        <f>IFERROR(SUMIFS(D_D[INV],D_D[MT],2,D_D[CAT],TA_31,D_D[EP],-1, D_D[LOC],$A78),0)</f>
        <v>8227</v>
      </c>
      <c r="F78" s="68">
        <f>IFERROR(SUMIFS(D_D[BL],D_D[MT],2,D_D[CAT],TA_31,D_D[EP],-1, D_D[LOC],$A78),0)</f>
        <v>1563</v>
      </c>
      <c r="G78" s="54">
        <f t="shared" si="24"/>
        <v>0.18998419837121672</v>
      </c>
      <c r="H78" s="68">
        <f>IFERROR(SUMIFS(D_D[INV],D_D[MT],2,D_D[CAT],TA_32,D_D[EP],-1, D_D[LOC],$A78),0)</f>
        <v>5928</v>
      </c>
      <c r="I78" s="68">
        <f>IFERROR(SUMIFS(D_D[BL],D_D[MT],2,D_D[CAT],TA_32,D_D[EP],-1, D_D[LOC],$A78),0)</f>
        <v>943</v>
      </c>
      <c r="J78" s="54">
        <f t="shared" si="25"/>
        <v>0.15907557354925775</v>
      </c>
      <c r="K78" s="68">
        <f>IFERROR(SUMIFS(D_D[INV],D_D[MT],2,D_D[CAT],TA_33,D_D[EP],-1, D_D[LOC],$A78),0)</f>
        <v>10564</v>
      </c>
      <c r="L78" s="68">
        <f>IFERROR(SUMIFS(D_D[BL],D_D[MT],2,D_D[CAT],TA_33,D_D[EP],-1, D_D[LOC],$A78),0)</f>
        <v>23</v>
      </c>
      <c r="M78" s="54">
        <f t="shared" si="26"/>
        <v>2.1772056039379025E-3</v>
      </c>
      <c r="N78" s="68">
        <f>IFERROR(SUMIFS(D_D[INV],D_D[MT],2,D_D[CAT],TA_34,D_D[EP],-1, D_D[LOC],$A78),0)</f>
        <v>1</v>
      </c>
      <c r="O78" s="68">
        <f>IFERROR(SUMIFS(D_D[BL],D_D[MT],2,D_D[CAT],TA_34,D_D[EP],-1, D_D[LOC],$A78),0)</f>
        <v>1</v>
      </c>
      <c r="P78" s="54">
        <f t="shared" si="27"/>
        <v>1</v>
      </c>
      <c r="Q78" s="68">
        <f>IFERROR(SUMIFS(D_D[INV],D_D[MT],2,D_D[CAT],TA_35,D_D[EP],-1, D_D[LOC],$A78),0)</f>
        <v>0</v>
      </c>
      <c r="R78" s="68">
        <f>IFERROR(SUMIFS(D_D[INV],D_D[MT],2,D_D[CAT],TA_36,D_D[EP],-1, D_D[LOC],$A78),0)</f>
        <v>2456</v>
      </c>
      <c r="S78" s="69">
        <f>IFERROR(SUMIFS(D_D[INV],D_D[MT],7,D_D[CAT],2,D_D[EP],TA_30, D_D[LOC],$A78),0)</f>
        <v>853</v>
      </c>
      <c r="T78" s="230"/>
    </row>
    <row r="79" spans="1:20" x14ac:dyDescent="0.2">
      <c r="A79" s="24" t="s">
        <v>134</v>
      </c>
      <c r="B79" s="239" t="s">
        <v>177</v>
      </c>
      <c r="C79" s="68">
        <f>IFERROR(SUMIFS(D_D[INV],D_D[MT],1,D_D[CAT],TA_30,D_D[EP],-1, D_D[LOC],$A79),0)</f>
        <v>4410</v>
      </c>
      <c r="D79" s="51">
        <f>IFERROR(SUMIFS(D_D[ADP],D_D[MT],1,D_D[CAT],TA_30,D_D[EP],-1, D_D[LOC],$A79),0)</f>
        <v>99.14</v>
      </c>
      <c r="E79" s="68">
        <f>IFERROR(SUMIFS(D_D[INV],D_D[MT],2,D_D[CAT],TA_31,D_D[EP],-1, D_D[LOC],$A79),0)</f>
        <v>8483</v>
      </c>
      <c r="F79" s="68">
        <f>IFERROR(SUMIFS(D_D[BL],D_D[MT],2,D_D[CAT],TA_31,D_D[EP],-1, D_D[LOC],$A79),0)</f>
        <v>2324</v>
      </c>
      <c r="G79" s="54">
        <f t="shared" si="24"/>
        <v>0.27395968407403043</v>
      </c>
      <c r="H79" s="68">
        <f>IFERROR(SUMIFS(D_D[INV],D_D[MT],2,D_D[CAT],TA_32,D_D[EP],-1, D_D[LOC],$A79),0)</f>
        <v>4696</v>
      </c>
      <c r="I79" s="68">
        <f>IFERROR(SUMIFS(D_D[BL],D_D[MT],2,D_D[CAT],TA_32,D_D[EP],-1, D_D[LOC],$A79),0)</f>
        <v>958</v>
      </c>
      <c r="J79" s="54">
        <f t="shared" si="25"/>
        <v>0.20400340715502555</v>
      </c>
      <c r="K79" s="68">
        <f>IFERROR(SUMIFS(D_D[INV],D_D[MT],2,D_D[CAT],TA_33,D_D[EP],-1, D_D[LOC],$A79),0)</f>
        <v>10034</v>
      </c>
      <c r="L79" s="68">
        <f>IFERROR(SUMIFS(D_D[BL],D_D[MT],2,D_D[CAT],TA_33,D_D[EP],-1, D_D[LOC],$A79),0)</f>
        <v>6</v>
      </c>
      <c r="M79" s="54">
        <f t="shared" si="26"/>
        <v>5.9796691249750845E-4</v>
      </c>
      <c r="N79" s="68">
        <f>IFERROR(SUMIFS(D_D[INV],D_D[MT],2,D_D[CAT],TA_34,D_D[EP],-1, D_D[LOC],$A79),0)</f>
        <v>0</v>
      </c>
      <c r="O79" s="68">
        <f>IFERROR(SUMIFS(D_D[BL],D_D[MT],2,D_D[CAT],TA_34,D_D[EP],-1, D_D[LOC],$A79),0)</f>
        <v>0</v>
      </c>
      <c r="P79" s="54" t="str">
        <f t="shared" si="27"/>
        <v>0%</v>
      </c>
      <c r="Q79" s="68">
        <f>IFERROR(SUMIFS(D_D[INV],D_D[MT],2,D_D[CAT],TA_35,D_D[EP],-1, D_D[LOC],$A79),0)</f>
        <v>1</v>
      </c>
      <c r="R79" s="68">
        <f>IFERROR(SUMIFS(D_D[INV],D_D[MT],2,D_D[CAT],TA_36,D_D[EP],-1, D_D[LOC],$A79),0)</f>
        <v>2378</v>
      </c>
      <c r="S79" s="69">
        <f>IFERROR(SUMIFS(D_D[INV],D_D[MT],7,D_D[CAT],2,D_D[EP],TA_30, D_D[LOC],$A79),0)</f>
        <v>569</v>
      </c>
      <c r="T79" s="230"/>
    </row>
    <row r="80" spans="1:20" x14ac:dyDescent="0.2">
      <c r="A80" s="23">
        <v>-1</v>
      </c>
      <c r="B80" s="228" t="s">
        <v>179</v>
      </c>
      <c r="C80" s="49">
        <f>IFERROR(SUMIFS(D_D[INV],D_D[MT],1,D_D[CAT],TA_30,D_D[EP],-1, D_D[LOC],$A80),0)</f>
        <v>1696</v>
      </c>
      <c r="D80" s="34">
        <f>IFERROR(SUMIFS(D_D[ADP],D_D[MT],1,D_D[CAT],TA_30,D_D[EP],-1, D_D[LOC],$A80),0)</f>
        <v>107.95</v>
      </c>
      <c r="E80" s="49">
        <f>IFERROR(SUMIFS(D_D[INV],D_D[MT],2,D_D[CAT],TA_31,D_D[EP],-1, D_D[LOC],$A80),0)</f>
        <v>911</v>
      </c>
      <c r="F80" s="49">
        <f>IFERROR(SUMIFS(D_D[BL],D_D[MT],2,D_D[CAT],TA_31,D_D[EP],-1, D_D[LOC],$A80),0)</f>
        <v>166</v>
      </c>
      <c r="G80" s="46">
        <f t="shared" si="24"/>
        <v>0.18221734357848518</v>
      </c>
      <c r="H80" s="49">
        <f>IFERROR(SUMIFS(D_D[INV],D_D[MT],2,D_D[CAT],TA_32,D_D[EP],-1, D_D[LOC],$A80),0)</f>
        <v>1699</v>
      </c>
      <c r="I80" s="49">
        <f>IFERROR(SUMIFS(D_D[BL],D_D[MT],2,D_D[CAT],TA_32,D_D[EP],-1, D_D[LOC],$A80),0)</f>
        <v>250</v>
      </c>
      <c r="J80" s="46">
        <f t="shared" si="25"/>
        <v>0.14714537963507945</v>
      </c>
      <c r="K80" s="49">
        <f>IFERROR(SUMIFS(D_D[INV],D_D[MT],2,D_D[CAT],TA_33,D_D[EP],-1, D_D[LOC],$A80),0)</f>
        <v>249</v>
      </c>
      <c r="L80" s="49">
        <f>IFERROR(SUMIFS(D_D[BL],D_D[MT],2,D_D[CAT],TA_33,D_D[EP],-1, D_D[LOC],$A80),0)</f>
        <v>4</v>
      </c>
      <c r="M80" s="46">
        <f t="shared" si="26"/>
        <v>1.6064257028112448E-2</v>
      </c>
      <c r="N80" s="49">
        <f>IFERROR(SUMIFS(D_D[INV],D_D[MT],2,D_D[CAT],TA_34,D_D[EP],-1, D_D[LOC],$A80),0)</f>
        <v>190</v>
      </c>
      <c r="O80" s="49">
        <f>IFERROR(SUMIFS(D_D[BL],D_D[MT],2,D_D[CAT],TA_34,D_D[EP],-1, D_D[LOC],$A80),0)</f>
        <v>54</v>
      </c>
      <c r="P80" s="46">
        <f t="shared" si="27"/>
        <v>0.28421052631578947</v>
      </c>
      <c r="Q80" s="49">
        <f>IFERROR(SUMIFS(D_D[INV],D_D[MT],2,D_D[CAT],TA_35,D_D[EP],-1, D_D[LOC],$A80),0)</f>
        <v>2</v>
      </c>
      <c r="R80" s="70">
        <f>IFERROR(SUMIFS(D_D[INV],D_D[MT],2,D_D[CAT],TA_36,D_D[EP],-1, D_D[LOC],$A80),0)</f>
        <v>0</v>
      </c>
      <c r="S80" s="70">
        <f>IFERROR(SUMIFS(D_D[INV],D_D[MT],7,D_D[CAT],2,D_D[EP],TA_30, D_D[LOC],$A80),0)</f>
        <v>138</v>
      </c>
      <c r="T80" s="230"/>
    </row>
    <row r="81" spans="1:20" x14ac:dyDescent="0.2">
      <c r="A81" s="6"/>
      <c r="B81" s="230"/>
      <c r="C81" s="230"/>
      <c r="D81" s="230"/>
      <c r="E81" s="230"/>
      <c r="F81" s="230"/>
      <c r="G81" s="230"/>
      <c r="H81" s="230"/>
      <c r="I81" s="230"/>
      <c r="J81" s="230"/>
      <c r="K81" s="230"/>
      <c r="L81" s="230"/>
      <c r="M81" s="230"/>
      <c r="N81" s="230"/>
      <c r="O81" s="230"/>
      <c r="P81" s="230"/>
      <c r="Q81" s="230"/>
      <c r="R81" s="230"/>
      <c r="S81" s="230"/>
      <c r="T81" s="230"/>
    </row>
    <row r="82" spans="1:20" x14ac:dyDescent="0.2"/>
    <row r="83" spans="1:20" x14ac:dyDescent="0.2"/>
    <row r="84" spans="1:20" x14ac:dyDescent="0.2"/>
    <row r="85" spans="1:20" x14ac:dyDescent="0.2"/>
    <row r="86" spans="1:20" x14ac:dyDescent="0.2"/>
    <row r="87" spans="1:20" x14ac:dyDescent="0.2"/>
    <row r="88" spans="1:20" x14ac:dyDescent="0.2"/>
    <row r="89" spans="1:20" x14ac:dyDescent="0.2"/>
    <row r="90" spans="1:20" x14ac:dyDescent="0.2"/>
  </sheetData>
  <sheetProtection autoFilter="0"/>
  <mergeCells count="16">
    <mergeCell ref="B2:B4"/>
    <mergeCell ref="C6:S6"/>
    <mergeCell ref="C73:S73"/>
    <mergeCell ref="C74:D74"/>
    <mergeCell ref="E74:G74"/>
    <mergeCell ref="H74:J74"/>
    <mergeCell ref="K74:M74"/>
    <mergeCell ref="N74:P74"/>
    <mergeCell ref="C4:D4"/>
    <mergeCell ref="E4:G4"/>
    <mergeCell ref="H4:J4"/>
    <mergeCell ref="K4:M4"/>
    <mergeCell ref="N4:P4"/>
    <mergeCell ref="C2:F2"/>
    <mergeCell ref="G2:J2"/>
    <mergeCell ref="C3:S3"/>
  </mergeCells>
  <conditionalFormatting sqref="S31:S45 B31:S43 S69:S70">
    <cfRule type="expression" dxfId="427" priority="217" stopIfTrue="1">
      <formula>ISERROR(B31)</formula>
    </cfRule>
  </conditionalFormatting>
  <conditionalFormatting sqref="B7:C7 B8:B29 B73:B75 C8:G8 S44:S45 J7:J8 M7:M8 E7:G7 P7:S8 S9:S29">
    <cfRule type="expression" dxfId="426" priority="460" stopIfTrue="1">
      <formula>ISERROR(B7)</formula>
    </cfRule>
  </conditionalFormatting>
  <conditionalFormatting sqref="D7">
    <cfRule type="expression" dxfId="425" priority="459" stopIfTrue="1">
      <formula>ISERROR(D7)</formula>
    </cfRule>
  </conditionalFormatting>
  <conditionalFormatting sqref="D8:G29 Q8:R29">
    <cfRule type="expression" dxfId="424" priority="458" stopIfTrue="1">
      <formula>ISERROR(D8)</formula>
    </cfRule>
  </conditionalFormatting>
  <conditionalFormatting sqref="S5">
    <cfRule type="expression" dxfId="423" priority="453" stopIfTrue="1">
      <formula>ISERROR(S5)</formula>
    </cfRule>
  </conditionalFormatting>
  <conditionalFormatting sqref="M46">
    <cfRule type="expression" dxfId="422" priority="371" stopIfTrue="1">
      <formula>ISERROR(M46)</formula>
    </cfRule>
  </conditionalFormatting>
  <conditionalFormatting sqref="S57">
    <cfRule type="expression" dxfId="421" priority="449" stopIfTrue="1">
      <formula>ISERROR(S57)</formula>
    </cfRule>
  </conditionalFormatting>
  <conditionalFormatting sqref="E5">
    <cfRule type="expression" dxfId="420" priority="457" stopIfTrue="1">
      <formula>ISERROR(E5)</formula>
    </cfRule>
  </conditionalFormatting>
  <conditionalFormatting sqref="C5">
    <cfRule type="expression" dxfId="419" priority="456" stopIfTrue="1">
      <formula>ISERROR(C5)</formula>
    </cfRule>
  </conditionalFormatting>
  <conditionalFormatting sqref="N30">
    <cfRule type="expression" dxfId="418" priority="399" stopIfTrue="1">
      <formula>ISERROR(N30)</formula>
    </cfRule>
  </conditionalFormatting>
  <conditionalFormatting sqref="K8">
    <cfRule type="expression" dxfId="417" priority="429" stopIfTrue="1">
      <formula>ISERROR(K8)</formula>
    </cfRule>
  </conditionalFormatting>
  <conditionalFormatting sqref="S30">
    <cfRule type="expression" dxfId="416" priority="451" stopIfTrue="1">
      <formula>ISERROR(S30)</formula>
    </cfRule>
  </conditionalFormatting>
  <conditionalFormatting sqref="Q5">
    <cfRule type="expression" dxfId="415" priority="455" stopIfTrue="1">
      <formula>ISERROR(Q5)</formula>
    </cfRule>
  </conditionalFormatting>
  <conditionalFormatting sqref="R5">
    <cfRule type="expression" dxfId="414" priority="454" stopIfTrue="1">
      <formula>ISERROR(R5)</formula>
    </cfRule>
  </conditionalFormatting>
  <conditionalFormatting sqref="K5">
    <cfRule type="expression" dxfId="413" priority="442" stopIfTrue="1">
      <formula>ISERROR(K5)</formula>
    </cfRule>
  </conditionalFormatting>
  <conditionalFormatting sqref="P8">
    <cfRule type="expression" dxfId="412" priority="414" stopIfTrue="1">
      <formula>ISERROR(P8)</formula>
    </cfRule>
  </conditionalFormatting>
  <conditionalFormatting sqref="H8">
    <cfRule type="expression" dxfId="411" priority="432" stopIfTrue="1">
      <formula>ISERROR(H8)</formula>
    </cfRule>
  </conditionalFormatting>
  <conditionalFormatting sqref="C8:C29">
    <cfRule type="expression" dxfId="410" priority="452" stopIfTrue="1">
      <formula>ISERROR(C8)</formula>
    </cfRule>
  </conditionalFormatting>
  <conditionalFormatting sqref="N8">
    <cfRule type="expression" dxfId="409" priority="425" stopIfTrue="1">
      <formula>ISERROR(N8)</formula>
    </cfRule>
  </conditionalFormatting>
  <conditionalFormatting sqref="Q30">
    <cfRule type="expression" dxfId="408" priority="396" stopIfTrue="1">
      <formula>ISERROR(Q30)</formula>
    </cfRule>
  </conditionalFormatting>
  <conditionalFormatting sqref="R30">
    <cfRule type="expression" dxfId="407" priority="395" stopIfTrue="1">
      <formula>ISERROR(R30)</formula>
    </cfRule>
  </conditionalFormatting>
  <conditionalFormatting sqref="S46">
    <cfRule type="expression" dxfId="406" priority="450" stopIfTrue="1">
      <formula>ISERROR(S46)</formula>
    </cfRule>
  </conditionalFormatting>
  <conditionalFormatting sqref="M8">
    <cfRule type="expression" dxfId="405" priority="415" stopIfTrue="1">
      <formula>ISERROR(M8)</formula>
    </cfRule>
  </conditionalFormatting>
  <conditionalFormatting sqref="K57">
    <cfRule type="expression" dxfId="404" priority="359" stopIfTrue="1">
      <formula>ISERROR(K57)</formula>
    </cfRule>
  </conditionalFormatting>
  <conditionalFormatting sqref="L46">
    <cfRule type="expression" dxfId="403" priority="380" stopIfTrue="1">
      <formula>ISERROR(L46)</formula>
    </cfRule>
  </conditionalFormatting>
  <conditionalFormatting sqref="L46">
    <cfRule type="expression" dxfId="402" priority="379" stopIfTrue="1">
      <formula>ISERROR(L46)</formula>
    </cfRule>
  </conditionalFormatting>
  <conditionalFormatting sqref="I8">
    <cfRule type="expression" dxfId="401" priority="431" stopIfTrue="1">
      <formula>ISERROR(I8)</formula>
    </cfRule>
  </conditionalFormatting>
  <conditionalFormatting sqref="K8">
    <cfRule type="expression" dxfId="400" priority="428" stopIfTrue="1">
      <formula>ISERROR(K8)</formula>
    </cfRule>
  </conditionalFormatting>
  <conditionalFormatting sqref="H7:I7">
    <cfRule type="expression" dxfId="399" priority="447" stopIfTrue="1">
      <formula>ISERROR(H7)</formula>
    </cfRule>
  </conditionalFormatting>
  <conditionalFormatting sqref="H10:J29 H9:I29">
    <cfRule type="expression" dxfId="398" priority="446" stopIfTrue="1">
      <formula>ISERROR(H9)</formula>
    </cfRule>
  </conditionalFormatting>
  <conditionalFormatting sqref="H5">
    <cfRule type="expression" dxfId="397" priority="445" stopIfTrue="1">
      <formula>ISERROR(H5)</formula>
    </cfRule>
  </conditionalFormatting>
  <conditionalFormatting sqref="R8">
    <cfRule type="expression" dxfId="396" priority="420" stopIfTrue="1">
      <formula>ISERROR(R8)</formula>
    </cfRule>
  </conditionalFormatting>
  <conditionalFormatting sqref="K46">
    <cfRule type="expression" dxfId="395" priority="382" stopIfTrue="1">
      <formula>ISERROR(K46)</formula>
    </cfRule>
  </conditionalFormatting>
  <conditionalFormatting sqref="K46">
    <cfRule type="expression" dxfId="394" priority="381" stopIfTrue="1">
      <formula>ISERROR(K46)</formula>
    </cfRule>
  </conditionalFormatting>
  <conditionalFormatting sqref="L30">
    <cfRule type="expression" dxfId="393" priority="402" stopIfTrue="1">
      <formula>ISERROR(L30)</formula>
    </cfRule>
  </conditionalFormatting>
  <conditionalFormatting sqref="L30">
    <cfRule type="expression" dxfId="392" priority="401" stopIfTrue="1">
      <formula>ISERROR(L30)</formula>
    </cfRule>
  </conditionalFormatting>
  <conditionalFormatting sqref="J7">
    <cfRule type="expression" dxfId="391" priority="419" stopIfTrue="1">
      <formula>ISERROR(J7)</formula>
    </cfRule>
  </conditionalFormatting>
  <conditionalFormatting sqref="K7:L7">
    <cfRule type="expression" dxfId="390" priority="444" stopIfTrue="1">
      <formula>ISERROR(K7)</formula>
    </cfRule>
  </conditionalFormatting>
  <conditionalFormatting sqref="K10:M29 K9:L29">
    <cfRule type="expression" dxfId="389" priority="443" stopIfTrue="1">
      <formula>ISERROR(K9)</formula>
    </cfRule>
  </conditionalFormatting>
  <conditionalFormatting sqref="C30">
    <cfRule type="expression" dxfId="388" priority="411" stopIfTrue="1">
      <formula>ISERROR(C30)</formula>
    </cfRule>
  </conditionalFormatting>
  <conditionalFormatting sqref="E30">
    <cfRule type="expression" dxfId="387" priority="410" stopIfTrue="1">
      <formula>ISERROR(E30)</formula>
    </cfRule>
  </conditionalFormatting>
  <conditionalFormatting sqref="P46">
    <cfRule type="expression" dxfId="386" priority="370" stopIfTrue="1">
      <formula>ISERROR(P46)</formula>
    </cfRule>
  </conditionalFormatting>
  <conditionalFormatting sqref="B46:G46 Q46:R46">
    <cfRule type="expression" dxfId="385" priority="391" stopIfTrue="1">
      <formula>ISERROR(B46)</formula>
    </cfRule>
  </conditionalFormatting>
  <conditionalFormatting sqref="Q46:R46 D46:G46">
    <cfRule type="expression" dxfId="384" priority="390" stopIfTrue="1">
      <formula>ISERROR(D46)</formula>
    </cfRule>
  </conditionalFormatting>
  <conditionalFormatting sqref="N7:O7">
    <cfRule type="expression" dxfId="383" priority="441" stopIfTrue="1">
      <formula>ISERROR(N7)</formula>
    </cfRule>
  </conditionalFormatting>
  <conditionalFormatting sqref="N10:P29 N9:O29">
    <cfRule type="expression" dxfId="382" priority="440" stopIfTrue="1">
      <formula>ISERROR(N9)</formula>
    </cfRule>
  </conditionalFormatting>
  <conditionalFormatting sqref="N5">
    <cfRule type="expression" dxfId="381" priority="439" stopIfTrue="1">
      <formula>ISERROR(N5)</formula>
    </cfRule>
  </conditionalFormatting>
  <conditionalFormatting sqref="N30">
    <cfRule type="expression" dxfId="380" priority="400" stopIfTrue="1">
      <formula>ISERROR(N30)</formula>
    </cfRule>
  </conditionalFormatting>
  <conditionalFormatting sqref="O30">
    <cfRule type="expression" dxfId="379" priority="398" stopIfTrue="1">
      <formula>ISERROR(O30)</formula>
    </cfRule>
  </conditionalFormatting>
  <conditionalFormatting sqref="K57">
    <cfRule type="expression" dxfId="378" priority="360" stopIfTrue="1">
      <formula>ISERROR(K57)</formula>
    </cfRule>
  </conditionalFormatting>
  <conditionalFormatting sqref="J9">
    <cfRule type="expression" dxfId="377" priority="438" stopIfTrue="1">
      <formula>ISERROR(J9)</formula>
    </cfRule>
  </conditionalFormatting>
  <conditionalFormatting sqref="M9">
    <cfRule type="expression" dxfId="376" priority="437" stopIfTrue="1">
      <formula>ISERROR(M9)</formula>
    </cfRule>
  </conditionalFormatting>
  <conditionalFormatting sqref="P9">
    <cfRule type="expression" dxfId="375" priority="436" stopIfTrue="1">
      <formula>ISERROR(P9)</formula>
    </cfRule>
  </conditionalFormatting>
  <conditionalFormatting sqref="E8">
    <cfRule type="expression" dxfId="374" priority="435" stopIfTrue="1">
      <formula>ISERROR(E8)</formula>
    </cfRule>
  </conditionalFormatting>
  <conditionalFormatting sqref="F8">
    <cfRule type="expression" dxfId="373" priority="434" stopIfTrue="1">
      <formula>ISERROR(F8)</formula>
    </cfRule>
  </conditionalFormatting>
  <conditionalFormatting sqref="H8">
    <cfRule type="expression" dxfId="372" priority="433" stopIfTrue="1">
      <formula>ISERROR(H8)</formula>
    </cfRule>
  </conditionalFormatting>
  <conditionalFormatting sqref="Q30:R30 D30:G30">
    <cfRule type="expression" dxfId="371" priority="412" stopIfTrue="1">
      <formula>ISERROR(D30)</formula>
    </cfRule>
  </conditionalFormatting>
  <conditionalFormatting sqref="I8">
    <cfRule type="expression" dxfId="370" priority="430" stopIfTrue="1">
      <formula>ISERROR(I8)</formula>
    </cfRule>
  </conditionalFormatting>
  <conditionalFormatting sqref="F30">
    <cfRule type="expression" dxfId="369" priority="409" stopIfTrue="1">
      <formula>ISERROR(F30)</formula>
    </cfRule>
  </conditionalFormatting>
  <conditionalFormatting sqref="H30">
    <cfRule type="expression" dxfId="368" priority="408" stopIfTrue="1">
      <formula>ISERROR(H30)</formula>
    </cfRule>
  </conditionalFormatting>
  <conditionalFormatting sqref="L8">
    <cfRule type="expression" dxfId="367" priority="427" stopIfTrue="1">
      <formula>ISERROR(L8)</formula>
    </cfRule>
  </conditionalFormatting>
  <conditionalFormatting sqref="L8">
    <cfRule type="expression" dxfId="366" priority="426" stopIfTrue="1">
      <formula>ISERROR(L8)</formula>
    </cfRule>
  </conditionalFormatting>
  <conditionalFormatting sqref="N8">
    <cfRule type="expression" dxfId="365" priority="424" stopIfTrue="1">
      <formula>ISERROR(N8)</formula>
    </cfRule>
  </conditionalFormatting>
  <conditionalFormatting sqref="O8">
    <cfRule type="expression" dxfId="364" priority="423" stopIfTrue="1">
      <formula>ISERROR(O8)</formula>
    </cfRule>
  </conditionalFormatting>
  <conditionalFormatting sqref="O8">
    <cfRule type="expression" dxfId="363" priority="422" stopIfTrue="1">
      <formula>ISERROR(O8)</formula>
    </cfRule>
  </conditionalFormatting>
  <conditionalFormatting sqref="Q8">
    <cfRule type="expression" dxfId="362" priority="421" stopIfTrue="1">
      <formula>ISERROR(Q8)</formula>
    </cfRule>
  </conditionalFormatting>
  <conditionalFormatting sqref="O30">
    <cfRule type="expression" dxfId="361" priority="397" stopIfTrue="1">
      <formula>ISERROR(O30)</formula>
    </cfRule>
  </conditionalFormatting>
  <conditionalFormatting sqref="M7">
    <cfRule type="expression" dxfId="360" priority="418" stopIfTrue="1">
      <formula>ISERROR(M7)</formula>
    </cfRule>
  </conditionalFormatting>
  <conditionalFormatting sqref="P7">
    <cfRule type="expression" dxfId="359" priority="417" stopIfTrue="1">
      <formula>ISERROR(P7)</formula>
    </cfRule>
  </conditionalFormatting>
  <conditionalFormatting sqref="J8">
    <cfRule type="expression" dxfId="358" priority="416" stopIfTrue="1">
      <formula>ISERROR(J8)</formula>
    </cfRule>
  </conditionalFormatting>
  <conditionalFormatting sqref="M30">
    <cfRule type="expression" dxfId="357" priority="393" stopIfTrue="1">
      <formula>ISERROR(M30)</formula>
    </cfRule>
  </conditionalFormatting>
  <conditionalFormatting sqref="P30">
    <cfRule type="expression" dxfId="356" priority="392" stopIfTrue="1">
      <formula>ISERROR(P30)</formula>
    </cfRule>
  </conditionalFormatting>
  <conditionalFormatting sqref="B30:G30 Q30:R30">
    <cfRule type="expression" dxfId="355" priority="413" stopIfTrue="1">
      <formula>ISERROR(B30)</formula>
    </cfRule>
  </conditionalFormatting>
  <conditionalFormatting sqref="C46">
    <cfRule type="expression" dxfId="354" priority="389" stopIfTrue="1">
      <formula>ISERROR(C46)</formula>
    </cfRule>
  </conditionalFormatting>
  <conditionalFormatting sqref="E46">
    <cfRule type="expression" dxfId="353" priority="388" stopIfTrue="1">
      <formula>ISERROR(E46)</formula>
    </cfRule>
  </conditionalFormatting>
  <conditionalFormatting sqref="H30">
    <cfRule type="expression" dxfId="352" priority="407" stopIfTrue="1">
      <formula>ISERROR(H30)</formula>
    </cfRule>
  </conditionalFormatting>
  <conditionalFormatting sqref="I30">
    <cfRule type="expression" dxfId="351" priority="406" stopIfTrue="1">
      <formula>ISERROR(I30)</formula>
    </cfRule>
  </conditionalFormatting>
  <conditionalFormatting sqref="I30">
    <cfRule type="expression" dxfId="350" priority="405" stopIfTrue="1">
      <formula>ISERROR(I30)</formula>
    </cfRule>
  </conditionalFormatting>
  <conditionalFormatting sqref="K30">
    <cfRule type="expression" dxfId="349" priority="404" stopIfTrue="1">
      <formula>ISERROR(K30)</formula>
    </cfRule>
  </conditionalFormatting>
  <conditionalFormatting sqref="K30">
    <cfRule type="expression" dxfId="348" priority="403" stopIfTrue="1">
      <formula>ISERROR(K30)</formula>
    </cfRule>
  </conditionalFormatting>
  <conditionalFormatting sqref="N46">
    <cfRule type="expression" dxfId="347" priority="378" stopIfTrue="1">
      <formula>ISERROR(N46)</formula>
    </cfRule>
  </conditionalFormatting>
  <conditionalFormatting sqref="N46">
    <cfRule type="expression" dxfId="346" priority="377" stopIfTrue="1">
      <formula>ISERROR(N46)</formula>
    </cfRule>
  </conditionalFormatting>
  <conditionalFormatting sqref="Q46">
    <cfRule type="expression" dxfId="345" priority="374" stopIfTrue="1">
      <formula>ISERROR(Q46)</formula>
    </cfRule>
  </conditionalFormatting>
  <conditionalFormatting sqref="R46">
    <cfRule type="expression" dxfId="344" priority="373" stopIfTrue="1">
      <formula>ISERROR(R46)</formula>
    </cfRule>
  </conditionalFormatting>
  <conditionalFormatting sqref="J30">
    <cfRule type="expression" dxfId="343" priority="394" stopIfTrue="1">
      <formula>ISERROR(J30)</formula>
    </cfRule>
  </conditionalFormatting>
  <conditionalFormatting sqref="B57:G57 Q57:R57">
    <cfRule type="expression" dxfId="342" priority="369" stopIfTrue="1">
      <formula>ISERROR(B57)</formula>
    </cfRule>
  </conditionalFormatting>
  <conditionalFormatting sqref="Q57:R57 D57:G57">
    <cfRule type="expression" dxfId="341" priority="368" stopIfTrue="1">
      <formula>ISERROR(D57)</formula>
    </cfRule>
  </conditionalFormatting>
  <conditionalFormatting sqref="F46">
    <cfRule type="expression" dxfId="340" priority="387" stopIfTrue="1">
      <formula>ISERROR(F46)</formula>
    </cfRule>
  </conditionalFormatting>
  <conditionalFormatting sqref="H46">
    <cfRule type="expression" dxfId="339" priority="386" stopIfTrue="1">
      <formula>ISERROR(H46)</formula>
    </cfRule>
  </conditionalFormatting>
  <conditionalFormatting sqref="H46">
    <cfRule type="expression" dxfId="338" priority="385" stopIfTrue="1">
      <formula>ISERROR(H46)</formula>
    </cfRule>
  </conditionalFormatting>
  <conditionalFormatting sqref="I46">
    <cfRule type="expression" dxfId="337" priority="384" stopIfTrue="1">
      <formula>ISERROR(I46)</formula>
    </cfRule>
  </conditionalFormatting>
  <conditionalFormatting sqref="I46">
    <cfRule type="expression" dxfId="336" priority="383" stopIfTrue="1">
      <formula>ISERROR(I46)</formula>
    </cfRule>
  </conditionalFormatting>
  <conditionalFormatting sqref="L57">
    <cfRule type="expression" dxfId="335" priority="358" stopIfTrue="1">
      <formula>ISERROR(L57)</formula>
    </cfRule>
  </conditionalFormatting>
  <conditionalFormatting sqref="L57">
    <cfRule type="expression" dxfId="334" priority="357" stopIfTrue="1">
      <formula>ISERROR(L57)</formula>
    </cfRule>
  </conditionalFormatting>
  <conditionalFormatting sqref="O46">
    <cfRule type="expression" dxfId="333" priority="376" stopIfTrue="1">
      <formula>ISERROR(O46)</formula>
    </cfRule>
  </conditionalFormatting>
  <conditionalFormatting sqref="O46">
    <cfRule type="expression" dxfId="332" priority="375" stopIfTrue="1">
      <formula>ISERROR(O46)</formula>
    </cfRule>
  </conditionalFormatting>
  <conditionalFormatting sqref="J46">
    <cfRule type="expression" dxfId="331" priority="372" stopIfTrue="1">
      <formula>ISERROR(J46)</formula>
    </cfRule>
  </conditionalFormatting>
  <conditionalFormatting sqref="M57">
    <cfRule type="expression" dxfId="330" priority="349" stopIfTrue="1">
      <formula>ISERROR(M57)</formula>
    </cfRule>
  </conditionalFormatting>
  <conditionalFormatting sqref="P57">
    <cfRule type="expression" dxfId="329" priority="348" stopIfTrue="1">
      <formula>ISERROR(P57)</formula>
    </cfRule>
  </conditionalFormatting>
  <conditionalFormatting sqref="C57">
    <cfRule type="expression" dxfId="328" priority="367" stopIfTrue="1">
      <formula>ISERROR(C57)</formula>
    </cfRule>
  </conditionalFormatting>
  <conditionalFormatting sqref="E57">
    <cfRule type="expression" dxfId="327" priority="366" stopIfTrue="1">
      <formula>ISERROR(E57)</formula>
    </cfRule>
  </conditionalFormatting>
  <conditionalFormatting sqref="F57">
    <cfRule type="expression" dxfId="326" priority="365" stopIfTrue="1">
      <formula>ISERROR(F57)</formula>
    </cfRule>
  </conditionalFormatting>
  <conditionalFormatting sqref="H57">
    <cfRule type="expression" dxfId="325" priority="364" stopIfTrue="1">
      <formula>ISERROR(H57)</formula>
    </cfRule>
  </conditionalFormatting>
  <conditionalFormatting sqref="H57">
    <cfRule type="expression" dxfId="324" priority="363" stopIfTrue="1">
      <formula>ISERROR(H57)</formula>
    </cfRule>
  </conditionalFormatting>
  <conditionalFormatting sqref="I57">
    <cfRule type="expression" dxfId="323" priority="362" stopIfTrue="1">
      <formula>ISERROR(I57)</formula>
    </cfRule>
  </conditionalFormatting>
  <conditionalFormatting sqref="I57">
    <cfRule type="expression" dxfId="322" priority="361" stopIfTrue="1">
      <formula>ISERROR(I57)</formula>
    </cfRule>
  </conditionalFormatting>
  <conditionalFormatting sqref="N57">
    <cfRule type="expression" dxfId="321" priority="356" stopIfTrue="1">
      <formula>ISERROR(N57)</formula>
    </cfRule>
  </conditionalFormatting>
  <conditionalFormatting sqref="N57">
    <cfRule type="expression" dxfId="320" priority="355" stopIfTrue="1">
      <formula>ISERROR(N57)</formula>
    </cfRule>
  </conditionalFormatting>
  <conditionalFormatting sqref="O57">
    <cfRule type="expression" dxfId="319" priority="354" stopIfTrue="1">
      <formula>ISERROR(O57)</formula>
    </cfRule>
  </conditionalFormatting>
  <conditionalFormatting sqref="O57">
    <cfRule type="expression" dxfId="318" priority="353" stopIfTrue="1">
      <formula>ISERROR(O57)</formula>
    </cfRule>
  </conditionalFormatting>
  <conditionalFormatting sqref="Q57">
    <cfRule type="expression" dxfId="317" priority="352" stopIfTrue="1">
      <formula>ISERROR(Q57)</formula>
    </cfRule>
  </conditionalFormatting>
  <conditionalFormatting sqref="R57">
    <cfRule type="expression" dxfId="316" priority="351" stopIfTrue="1">
      <formula>ISERROR(R57)</formula>
    </cfRule>
  </conditionalFormatting>
  <conditionalFormatting sqref="J57">
    <cfRule type="expression" dxfId="315" priority="350" stopIfTrue="1">
      <formula>ISERROR(J57)</formula>
    </cfRule>
  </conditionalFormatting>
  <conditionalFormatting sqref="O71">
    <cfRule type="expression" dxfId="314" priority="310" stopIfTrue="1">
      <formula>ISERROR(O71)</formula>
    </cfRule>
  </conditionalFormatting>
  <conditionalFormatting sqref="P71">
    <cfRule type="expression" dxfId="313" priority="304" stopIfTrue="1">
      <formula>ISERROR(P71)</formula>
    </cfRule>
  </conditionalFormatting>
  <conditionalFormatting sqref="B71:G71 Q71:R71">
    <cfRule type="expression" dxfId="312" priority="325" stopIfTrue="1">
      <formula>ISERROR(B71)</formula>
    </cfRule>
  </conditionalFormatting>
  <conditionalFormatting sqref="Q71:R71 D71:G71">
    <cfRule type="expression" dxfId="311" priority="324" stopIfTrue="1">
      <formula>ISERROR(D71)</formula>
    </cfRule>
  </conditionalFormatting>
  <conditionalFormatting sqref="C71">
    <cfRule type="expression" dxfId="310" priority="323" stopIfTrue="1">
      <formula>ISERROR(C71)</formula>
    </cfRule>
  </conditionalFormatting>
  <conditionalFormatting sqref="E71">
    <cfRule type="expression" dxfId="309" priority="322" stopIfTrue="1">
      <formula>ISERROR(E71)</formula>
    </cfRule>
  </conditionalFormatting>
  <conditionalFormatting sqref="F71">
    <cfRule type="expression" dxfId="308" priority="321" stopIfTrue="1">
      <formula>ISERROR(F71)</formula>
    </cfRule>
  </conditionalFormatting>
  <conditionalFormatting sqref="H71">
    <cfRule type="expression" dxfId="307" priority="320" stopIfTrue="1">
      <formula>ISERROR(H71)</formula>
    </cfRule>
  </conditionalFormatting>
  <conditionalFormatting sqref="H71">
    <cfRule type="expression" dxfId="306" priority="319" stopIfTrue="1">
      <formula>ISERROR(H71)</formula>
    </cfRule>
  </conditionalFormatting>
  <conditionalFormatting sqref="I71">
    <cfRule type="expression" dxfId="305" priority="318" stopIfTrue="1">
      <formula>ISERROR(I71)</formula>
    </cfRule>
  </conditionalFormatting>
  <conditionalFormatting sqref="I71">
    <cfRule type="expression" dxfId="304" priority="317" stopIfTrue="1">
      <formula>ISERROR(I71)</formula>
    </cfRule>
  </conditionalFormatting>
  <conditionalFormatting sqref="K71">
    <cfRule type="expression" dxfId="303" priority="316" stopIfTrue="1">
      <formula>ISERROR(K71)</formula>
    </cfRule>
  </conditionalFormatting>
  <conditionalFormatting sqref="K71">
    <cfRule type="expression" dxfId="302" priority="315" stopIfTrue="1">
      <formula>ISERROR(K71)</formula>
    </cfRule>
  </conditionalFormatting>
  <conditionalFormatting sqref="L71">
    <cfRule type="expression" dxfId="301" priority="314" stopIfTrue="1">
      <formula>ISERROR(L71)</formula>
    </cfRule>
  </conditionalFormatting>
  <conditionalFormatting sqref="L71">
    <cfRule type="expression" dxfId="300" priority="313" stopIfTrue="1">
      <formula>ISERROR(L71)</formula>
    </cfRule>
  </conditionalFormatting>
  <conditionalFormatting sqref="N71">
    <cfRule type="expression" dxfId="299" priority="312" stopIfTrue="1">
      <formula>ISERROR(N71)</formula>
    </cfRule>
  </conditionalFormatting>
  <conditionalFormatting sqref="N71">
    <cfRule type="expression" dxfId="298" priority="311" stopIfTrue="1">
      <formula>ISERROR(N71)</formula>
    </cfRule>
  </conditionalFormatting>
  <conditionalFormatting sqref="O71">
    <cfRule type="expression" dxfId="297" priority="309" stopIfTrue="1">
      <formula>ISERROR(O71)</formula>
    </cfRule>
  </conditionalFormatting>
  <conditionalFormatting sqref="Q71">
    <cfRule type="expression" dxfId="296" priority="308" stopIfTrue="1">
      <formula>ISERROR(Q71)</formula>
    </cfRule>
  </conditionalFormatting>
  <conditionalFormatting sqref="R71">
    <cfRule type="expression" dxfId="295" priority="307" stopIfTrue="1">
      <formula>ISERROR(R71)</formula>
    </cfRule>
  </conditionalFormatting>
  <conditionalFormatting sqref="J71">
    <cfRule type="expression" dxfId="294" priority="306" stopIfTrue="1">
      <formula>ISERROR(J71)</formula>
    </cfRule>
  </conditionalFormatting>
  <conditionalFormatting sqref="M71">
    <cfRule type="expression" dxfId="293" priority="305" stopIfTrue="1">
      <formula>ISERROR(M71)</formula>
    </cfRule>
  </conditionalFormatting>
  <conditionalFormatting sqref="O76">
    <cfRule type="expression" dxfId="292" priority="288" stopIfTrue="1">
      <formula>ISERROR(O76)</formula>
    </cfRule>
  </conditionalFormatting>
  <conditionalFormatting sqref="E75">
    <cfRule type="expression" dxfId="291" priority="277" stopIfTrue="1">
      <formula>ISERROR(E75)</formula>
    </cfRule>
  </conditionalFormatting>
  <conditionalFormatting sqref="K76">
    <cfRule type="expression" dxfId="290" priority="294" stopIfTrue="1">
      <formula>ISERROR(K76)</formula>
    </cfRule>
  </conditionalFormatting>
  <conditionalFormatting sqref="K76">
    <cfRule type="expression" dxfId="289" priority="293" stopIfTrue="1">
      <formula>ISERROR(K76)</formula>
    </cfRule>
  </conditionalFormatting>
  <conditionalFormatting sqref="B76:F76 Q76:R76">
    <cfRule type="expression" dxfId="288" priority="303" stopIfTrue="1">
      <formula>ISERROR(B76)</formula>
    </cfRule>
  </conditionalFormatting>
  <conditionalFormatting sqref="Q76:R76 D76:F76">
    <cfRule type="expression" dxfId="287" priority="302" stopIfTrue="1">
      <formula>ISERROR(D76)</formula>
    </cfRule>
  </conditionalFormatting>
  <conditionalFormatting sqref="C76">
    <cfRule type="expression" dxfId="286" priority="301" stopIfTrue="1">
      <formula>ISERROR(C76)</formula>
    </cfRule>
  </conditionalFormatting>
  <conditionalFormatting sqref="E76">
    <cfRule type="expression" dxfId="285" priority="300" stopIfTrue="1">
      <formula>ISERROR(E76)</formula>
    </cfRule>
  </conditionalFormatting>
  <conditionalFormatting sqref="F76">
    <cfRule type="expression" dxfId="284" priority="299" stopIfTrue="1">
      <formula>ISERROR(F76)</formula>
    </cfRule>
  </conditionalFormatting>
  <conditionalFormatting sqref="H76">
    <cfRule type="expression" dxfId="283" priority="298" stopIfTrue="1">
      <formula>ISERROR(H76)</formula>
    </cfRule>
  </conditionalFormatting>
  <conditionalFormatting sqref="H76">
    <cfRule type="expression" dxfId="282" priority="297" stopIfTrue="1">
      <formula>ISERROR(H76)</formula>
    </cfRule>
  </conditionalFormatting>
  <conditionalFormatting sqref="I76">
    <cfRule type="expression" dxfId="281" priority="296" stopIfTrue="1">
      <formula>ISERROR(I76)</formula>
    </cfRule>
  </conditionalFormatting>
  <conditionalFormatting sqref="I76">
    <cfRule type="expression" dxfId="280" priority="295" stopIfTrue="1">
      <formula>ISERROR(I76)</formula>
    </cfRule>
  </conditionalFormatting>
  <conditionalFormatting sqref="L76">
    <cfRule type="expression" dxfId="279" priority="292" stopIfTrue="1">
      <formula>ISERROR(L76)</formula>
    </cfRule>
  </conditionalFormatting>
  <conditionalFormatting sqref="L76">
    <cfRule type="expression" dxfId="278" priority="291" stopIfTrue="1">
      <formula>ISERROR(L76)</formula>
    </cfRule>
  </conditionalFormatting>
  <conditionalFormatting sqref="N76">
    <cfRule type="expression" dxfId="277" priority="290" stopIfTrue="1">
      <formula>ISERROR(N76)</formula>
    </cfRule>
  </conditionalFormatting>
  <conditionalFormatting sqref="N76">
    <cfRule type="expression" dxfId="276" priority="289" stopIfTrue="1">
      <formula>ISERROR(N76)</formula>
    </cfRule>
  </conditionalFormatting>
  <conditionalFormatting sqref="O76">
    <cfRule type="expression" dxfId="275" priority="287" stopIfTrue="1">
      <formula>ISERROR(O76)</formula>
    </cfRule>
  </conditionalFormatting>
  <conditionalFormatting sqref="Q76">
    <cfRule type="expression" dxfId="274" priority="286" stopIfTrue="1">
      <formula>ISERROR(Q76)</formula>
    </cfRule>
  </conditionalFormatting>
  <conditionalFormatting sqref="R76">
    <cfRule type="expression" dxfId="273" priority="285" stopIfTrue="1">
      <formula>ISERROR(R76)</formula>
    </cfRule>
  </conditionalFormatting>
  <conditionalFormatting sqref="R80">
    <cfRule type="expression" dxfId="272" priority="252" stopIfTrue="1">
      <formula>ISERROR(R80)</formula>
    </cfRule>
  </conditionalFormatting>
  <conditionalFormatting sqref="G76">
    <cfRule type="expression" dxfId="271" priority="284" stopIfTrue="1">
      <formula>ISERROR(G76)</formula>
    </cfRule>
  </conditionalFormatting>
  <conditionalFormatting sqref="J76">
    <cfRule type="expression" dxfId="270" priority="283" stopIfTrue="1">
      <formula>ISERROR(J76)</formula>
    </cfRule>
  </conditionalFormatting>
  <conditionalFormatting sqref="M76">
    <cfRule type="expression" dxfId="269" priority="282" stopIfTrue="1">
      <formula>ISERROR(M76)</formula>
    </cfRule>
  </conditionalFormatting>
  <conditionalFormatting sqref="P76">
    <cfRule type="expression" dxfId="268" priority="281" stopIfTrue="1">
      <formula>ISERROR(P76)</formula>
    </cfRule>
  </conditionalFormatting>
  <conditionalFormatting sqref="S76">
    <cfRule type="expression" dxfId="267" priority="280" stopIfTrue="1">
      <formula>ISERROR(S76)</formula>
    </cfRule>
  </conditionalFormatting>
  <conditionalFormatting sqref="S76">
    <cfRule type="expression" dxfId="266" priority="279" stopIfTrue="1">
      <formula>ISERROR(S76)</formula>
    </cfRule>
  </conditionalFormatting>
  <conditionalFormatting sqref="S76">
    <cfRule type="expression" dxfId="265" priority="278" stopIfTrue="1">
      <formula>ISERROR(S76)</formula>
    </cfRule>
  </conditionalFormatting>
  <conditionalFormatting sqref="H75">
    <cfRule type="expression" dxfId="264" priority="273" stopIfTrue="1">
      <formula>ISERROR(H75)</formula>
    </cfRule>
  </conditionalFormatting>
  <conditionalFormatting sqref="C75">
    <cfRule type="expression" dxfId="263" priority="276" stopIfTrue="1">
      <formula>ISERROR(C75)</formula>
    </cfRule>
  </conditionalFormatting>
  <conditionalFormatting sqref="Q75">
    <cfRule type="expression" dxfId="262" priority="275" stopIfTrue="1">
      <formula>ISERROR(Q75)</formula>
    </cfRule>
  </conditionalFormatting>
  <conditionalFormatting sqref="R75">
    <cfRule type="expression" dxfId="261" priority="274" stopIfTrue="1">
      <formula>ISERROR(R75)</formula>
    </cfRule>
  </conditionalFormatting>
  <conditionalFormatting sqref="K75">
    <cfRule type="expression" dxfId="260" priority="272" stopIfTrue="1">
      <formula>ISERROR(K75)</formula>
    </cfRule>
  </conditionalFormatting>
  <conditionalFormatting sqref="N75">
    <cfRule type="expression" dxfId="259" priority="271" stopIfTrue="1">
      <formula>ISERROR(N75)</formula>
    </cfRule>
  </conditionalFormatting>
  <conditionalFormatting sqref="O80">
    <cfRule type="expression" dxfId="258" priority="255" stopIfTrue="1">
      <formula>ISERROR(O80)</formula>
    </cfRule>
  </conditionalFormatting>
  <conditionalFormatting sqref="P80">
    <cfRule type="expression" dxfId="257" priority="249" stopIfTrue="1">
      <formula>ISERROR(P80)</formula>
    </cfRule>
  </conditionalFormatting>
  <conditionalFormatting sqref="B80:G80 Q80:R80">
    <cfRule type="expression" dxfId="256" priority="270" stopIfTrue="1">
      <formula>ISERROR(B80)</formula>
    </cfRule>
  </conditionalFormatting>
  <conditionalFormatting sqref="Q80:R80 D80:G80">
    <cfRule type="expression" dxfId="255" priority="269" stopIfTrue="1">
      <formula>ISERROR(D80)</formula>
    </cfRule>
  </conditionalFormatting>
  <conditionalFormatting sqref="C80">
    <cfRule type="expression" dxfId="254" priority="268" stopIfTrue="1">
      <formula>ISERROR(C80)</formula>
    </cfRule>
  </conditionalFormatting>
  <conditionalFormatting sqref="E80">
    <cfRule type="expression" dxfId="253" priority="267" stopIfTrue="1">
      <formula>ISERROR(E80)</formula>
    </cfRule>
  </conditionalFormatting>
  <conditionalFormatting sqref="F80">
    <cfRule type="expression" dxfId="252" priority="266" stopIfTrue="1">
      <formula>ISERROR(F80)</formula>
    </cfRule>
  </conditionalFormatting>
  <conditionalFormatting sqref="H80">
    <cfRule type="expression" dxfId="251" priority="265" stopIfTrue="1">
      <formula>ISERROR(H80)</formula>
    </cfRule>
  </conditionalFormatting>
  <conditionalFormatting sqref="H80">
    <cfRule type="expression" dxfId="250" priority="264" stopIfTrue="1">
      <formula>ISERROR(H80)</formula>
    </cfRule>
  </conditionalFormatting>
  <conditionalFormatting sqref="I80">
    <cfRule type="expression" dxfId="249" priority="263" stopIfTrue="1">
      <formula>ISERROR(I80)</formula>
    </cfRule>
  </conditionalFormatting>
  <conditionalFormatting sqref="I80">
    <cfRule type="expression" dxfId="248" priority="262" stopIfTrue="1">
      <formula>ISERROR(I80)</formula>
    </cfRule>
  </conditionalFormatting>
  <conditionalFormatting sqref="K80">
    <cfRule type="expression" dxfId="247" priority="261" stopIfTrue="1">
      <formula>ISERROR(K80)</formula>
    </cfRule>
  </conditionalFormatting>
  <conditionalFormatting sqref="K80">
    <cfRule type="expression" dxfId="246" priority="260" stopIfTrue="1">
      <formula>ISERROR(K80)</formula>
    </cfRule>
  </conditionalFormatting>
  <conditionalFormatting sqref="L80">
    <cfRule type="expression" dxfId="245" priority="259" stopIfTrue="1">
      <formula>ISERROR(L80)</formula>
    </cfRule>
  </conditionalFormatting>
  <conditionalFormatting sqref="L80">
    <cfRule type="expression" dxfId="244" priority="258" stopIfTrue="1">
      <formula>ISERROR(L80)</formula>
    </cfRule>
  </conditionalFormatting>
  <conditionalFormatting sqref="N80">
    <cfRule type="expression" dxfId="243" priority="257" stopIfTrue="1">
      <formula>ISERROR(N80)</formula>
    </cfRule>
  </conditionalFormatting>
  <conditionalFormatting sqref="N80">
    <cfRule type="expression" dxfId="242" priority="256" stopIfTrue="1">
      <formula>ISERROR(N80)</formula>
    </cfRule>
  </conditionalFormatting>
  <conditionalFormatting sqref="O80">
    <cfRule type="expression" dxfId="241" priority="254" stopIfTrue="1">
      <formula>ISERROR(O80)</formula>
    </cfRule>
  </conditionalFormatting>
  <conditionalFormatting sqref="Q80">
    <cfRule type="expression" dxfId="240" priority="253" stopIfTrue="1">
      <formula>ISERROR(Q80)</formula>
    </cfRule>
  </conditionalFormatting>
  <conditionalFormatting sqref="J80">
    <cfRule type="expression" dxfId="239" priority="251" stopIfTrue="1">
      <formula>ISERROR(J80)</formula>
    </cfRule>
  </conditionalFormatting>
  <conditionalFormatting sqref="M80">
    <cfRule type="expression" dxfId="238" priority="250" stopIfTrue="1">
      <formula>ISERROR(M80)</formula>
    </cfRule>
  </conditionalFormatting>
  <conditionalFormatting sqref="S71">
    <cfRule type="expression" dxfId="237" priority="248" stopIfTrue="1">
      <formula>ISERROR(S71)</formula>
    </cfRule>
  </conditionalFormatting>
  <conditionalFormatting sqref="S71">
    <cfRule type="expression" dxfId="236" priority="247" stopIfTrue="1">
      <formula>ISERROR(S71)</formula>
    </cfRule>
  </conditionalFormatting>
  <conditionalFormatting sqref="S71">
    <cfRule type="expression" dxfId="235" priority="246" stopIfTrue="1">
      <formula>ISERROR(S71)</formula>
    </cfRule>
  </conditionalFormatting>
  <conditionalFormatting sqref="S80">
    <cfRule type="expression" dxfId="234" priority="243" stopIfTrue="1">
      <formula>ISERROR(S80)</formula>
    </cfRule>
  </conditionalFormatting>
  <conditionalFormatting sqref="S80">
    <cfRule type="expression" dxfId="233" priority="245" stopIfTrue="1">
      <formula>ISERROR(S80)</formula>
    </cfRule>
  </conditionalFormatting>
  <conditionalFormatting sqref="S80">
    <cfRule type="expression" dxfId="232" priority="244" stopIfTrue="1">
      <formula>ISERROR(S80)</formula>
    </cfRule>
  </conditionalFormatting>
  <conditionalFormatting sqref="S75">
    <cfRule type="expression" dxfId="231" priority="242" stopIfTrue="1">
      <formula>ISERROR(S75)</formula>
    </cfRule>
  </conditionalFormatting>
  <conditionalFormatting sqref="A1:T1 A4 C4:T4 A2:C3 G2 K2:T2 T3 A5:T80">
    <cfRule type="expression" dxfId="230" priority="241">
      <formula>IF(A1="none",TRUE,FALSE)</formula>
    </cfRule>
  </conditionalFormatting>
  <conditionalFormatting sqref="S8:S29">
    <cfRule type="expression" dxfId="229" priority="240" stopIfTrue="1">
      <formula>ISERROR(S8)</formula>
    </cfRule>
  </conditionalFormatting>
  <conditionalFormatting sqref="S30">
    <cfRule type="expression" dxfId="228" priority="236" stopIfTrue="1">
      <formula>ISERROR(S30)</formula>
    </cfRule>
  </conditionalFormatting>
  <conditionalFormatting sqref="S8">
    <cfRule type="expression" dxfId="227" priority="239" stopIfTrue="1">
      <formula>ISERROR(S8)</formula>
    </cfRule>
  </conditionalFormatting>
  <conditionalFormatting sqref="S46">
    <cfRule type="expression" dxfId="226" priority="235" stopIfTrue="1">
      <formula>ISERROR(S46)</formula>
    </cfRule>
  </conditionalFormatting>
  <conditionalFormatting sqref="S46">
    <cfRule type="expression" dxfId="225" priority="234" stopIfTrue="1">
      <formula>ISERROR(S46)</formula>
    </cfRule>
  </conditionalFormatting>
  <conditionalFormatting sqref="S30">
    <cfRule type="expression" dxfId="224" priority="237" stopIfTrue="1">
      <formula>ISERROR(S30)</formula>
    </cfRule>
  </conditionalFormatting>
  <conditionalFormatting sqref="S30">
    <cfRule type="expression" dxfId="223" priority="238" stopIfTrue="1">
      <formula>ISERROR(S30)</formula>
    </cfRule>
  </conditionalFormatting>
  <conditionalFormatting sqref="S46">
    <cfRule type="expression" dxfId="222" priority="233" stopIfTrue="1">
      <formula>ISERROR(S46)</formula>
    </cfRule>
  </conditionalFormatting>
  <conditionalFormatting sqref="S57">
    <cfRule type="expression" dxfId="221" priority="232" stopIfTrue="1">
      <formula>ISERROR(S57)</formula>
    </cfRule>
  </conditionalFormatting>
  <conditionalFormatting sqref="S57">
    <cfRule type="expression" dxfId="220" priority="231" stopIfTrue="1">
      <formula>ISERROR(S57)</formula>
    </cfRule>
  </conditionalFormatting>
  <conditionalFormatting sqref="S57">
    <cfRule type="expression" dxfId="219" priority="230" stopIfTrue="1">
      <formula>ISERROR(S57)</formula>
    </cfRule>
  </conditionalFormatting>
  <conditionalFormatting sqref="S71">
    <cfRule type="expression" dxfId="218" priority="226" stopIfTrue="1">
      <formula>ISERROR(S71)</formula>
    </cfRule>
  </conditionalFormatting>
  <conditionalFormatting sqref="S71">
    <cfRule type="expression" dxfId="217" priority="225" stopIfTrue="1">
      <formula>ISERROR(S71)</formula>
    </cfRule>
  </conditionalFormatting>
  <conditionalFormatting sqref="S71">
    <cfRule type="expression" dxfId="216" priority="224" stopIfTrue="1">
      <formula>ISERROR(S71)</formula>
    </cfRule>
  </conditionalFormatting>
  <conditionalFormatting sqref="S47:S56">
    <cfRule type="expression" dxfId="215" priority="222" stopIfTrue="1">
      <formula>ISERROR(S47)</formula>
    </cfRule>
  </conditionalFormatting>
  <conditionalFormatting sqref="S47:S56">
    <cfRule type="expression" dxfId="214" priority="221" stopIfTrue="1">
      <formula>ISERROR(S47)</formula>
    </cfRule>
  </conditionalFormatting>
  <conditionalFormatting sqref="S58:S69">
    <cfRule type="expression" dxfId="213" priority="220" stopIfTrue="1">
      <formula>ISERROR(S58)</formula>
    </cfRule>
  </conditionalFormatting>
  <conditionalFormatting sqref="S58:S69">
    <cfRule type="expression" dxfId="212" priority="219" stopIfTrue="1">
      <formula>ISERROR(S58)</formula>
    </cfRule>
  </conditionalFormatting>
  <conditionalFormatting sqref="S69:S70">
    <cfRule type="expression" dxfId="211" priority="218" stopIfTrue="1">
      <formula>ISERROR(S69)</formula>
    </cfRule>
  </conditionalFormatting>
  <conditionalFormatting sqref="S71">
    <cfRule type="expression" dxfId="210" priority="215" stopIfTrue="1">
      <formula>ISERROR(S71)</formula>
    </cfRule>
  </conditionalFormatting>
  <conditionalFormatting sqref="S71">
    <cfRule type="expression" dxfId="209" priority="216" stopIfTrue="1">
      <formula>ISERROR(S71)</formula>
    </cfRule>
  </conditionalFormatting>
  <conditionalFormatting sqref="S71">
    <cfRule type="expression" dxfId="208" priority="214" stopIfTrue="1">
      <formula>ISERROR(S71)</formula>
    </cfRule>
  </conditionalFormatting>
  <conditionalFormatting sqref="S71">
    <cfRule type="expression" dxfId="207" priority="213" stopIfTrue="1">
      <formula>ISERROR(S71)</formula>
    </cfRule>
  </conditionalFormatting>
  <conditionalFormatting sqref="S71">
    <cfRule type="expression" dxfId="206" priority="212" stopIfTrue="1">
      <formula>ISERROR(S71)</formula>
    </cfRule>
  </conditionalFormatting>
  <conditionalFormatting sqref="J8:J29">
    <cfRule type="expression" dxfId="205" priority="211" stopIfTrue="1">
      <formula>ISERROR(J8)</formula>
    </cfRule>
  </conditionalFormatting>
  <conditionalFormatting sqref="J46">
    <cfRule type="expression" dxfId="204" priority="208" stopIfTrue="1">
      <formula>ISERROR(J46)</formula>
    </cfRule>
  </conditionalFormatting>
  <conditionalFormatting sqref="J46">
    <cfRule type="expression" dxfId="203" priority="207" stopIfTrue="1">
      <formula>ISERROR(J46)</formula>
    </cfRule>
  </conditionalFormatting>
  <conditionalFormatting sqref="J30">
    <cfRule type="expression" dxfId="202" priority="209" stopIfTrue="1">
      <formula>ISERROR(J30)</formula>
    </cfRule>
  </conditionalFormatting>
  <conditionalFormatting sqref="J30">
    <cfRule type="expression" dxfId="201" priority="210" stopIfTrue="1">
      <formula>ISERROR(J30)</formula>
    </cfRule>
  </conditionalFormatting>
  <conditionalFormatting sqref="J57">
    <cfRule type="expression" dxfId="200" priority="206" stopIfTrue="1">
      <formula>ISERROR(J57)</formula>
    </cfRule>
  </conditionalFormatting>
  <conditionalFormatting sqref="J57">
    <cfRule type="expression" dxfId="199" priority="205" stopIfTrue="1">
      <formula>ISERROR(J57)</formula>
    </cfRule>
  </conditionalFormatting>
  <conditionalFormatting sqref="J71">
    <cfRule type="expression" dxfId="198" priority="202" stopIfTrue="1">
      <formula>ISERROR(J71)</formula>
    </cfRule>
  </conditionalFormatting>
  <conditionalFormatting sqref="J71">
    <cfRule type="expression" dxfId="197" priority="201" stopIfTrue="1">
      <formula>ISERROR(J71)</formula>
    </cfRule>
  </conditionalFormatting>
  <conditionalFormatting sqref="M8:M29">
    <cfRule type="expression" dxfId="196" priority="200" stopIfTrue="1">
      <formula>ISERROR(M8)</formula>
    </cfRule>
  </conditionalFormatting>
  <conditionalFormatting sqref="M46">
    <cfRule type="expression" dxfId="195" priority="197" stopIfTrue="1">
      <formula>ISERROR(M46)</formula>
    </cfRule>
  </conditionalFormatting>
  <conditionalFormatting sqref="M46">
    <cfRule type="expression" dxfId="194" priority="196" stopIfTrue="1">
      <formula>ISERROR(M46)</formula>
    </cfRule>
  </conditionalFormatting>
  <conditionalFormatting sqref="M30">
    <cfRule type="expression" dxfId="193" priority="198" stopIfTrue="1">
      <formula>ISERROR(M30)</formula>
    </cfRule>
  </conditionalFormatting>
  <conditionalFormatting sqref="M30">
    <cfRule type="expression" dxfId="192" priority="199" stopIfTrue="1">
      <formula>ISERROR(M30)</formula>
    </cfRule>
  </conditionalFormatting>
  <conditionalFormatting sqref="M57">
    <cfRule type="expression" dxfId="191" priority="195" stopIfTrue="1">
      <formula>ISERROR(M57)</formula>
    </cfRule>
  </conditionalFormatting>
  <conditionalFormatting sqref="M57">
    <cfRule type="expression" dxfId="190" priority="194" stopIfTrue="1">
      <formula>ISERROR(M57)</formula>
    </cfRule>
  </conditionalFormatting>
  <conditionalFormatting sqref="M71">
    <cfRule type="expression" dxfId="189" priority="191" stopIfTrue="1">
      <formula>ISERROR(M71)</formula>
    </cfRule>
  </conditionalFormatting>
  <conditionalFormatting sqref="M71">
    <cfRule type="expression" dxfId="188" priority="190" stopIfTrue="1">
      <formula>ISERROR(M71)</formula>
    </cfRule>
  </conditionalFormatting>
  <conditionalFormatting sqref="P8:P29">
    <cfRule type="expression" dxfId="187" priority="189" stopIfTrue="1">
      <formula>ISERROR(P8)</formula>
    </cfRule>
  </conditionalFormatting>
  <conditionalFormatting sqref="P46">
    <cfRule type="expression" dxfId="186" priority="186" stopIfTrue="1">
      <formula>ISERROR(P46)</formula>
    </cfRule>
  </conditionalFormatting>
  <conditionalFormatting sqref="P46">
    <cfRule type="expression" dxfId="185" priority="185" stopIfTrue="1">
      <formula>ISERROR(P46)</formula>
    </cfRule>
  </conditionalFormatting>
  <conditionalFormatting sqref="P30">
    <cfRule type="expression" dxfId="184" priority="187" stopIfTrue="1">
      <formula>ISERROR(P30)</formula>
    </cfRule>
  </conditionalFormatting>
  <conditionalFormatting sqref="P30">
    <cfRule type="expression" dxfId="183" priority="188" stopIfTrue="1">
      <formula>ISERROR(P30)</formula>
    </cfRule>
  </conditionalFormatting>
  <conditionalFormatting sqref="P57">
    <cfRule type="expression" dxfId="182" priority="184" stopIfTrue="1">
      <formula>ISERROR(P57)</formula>
    </cfRule>
  </conditionalFormatting>
  <conditionalFormatting sqref="P57">
    <cfRule type="expression" dxfId="181" priority="183" stopIfTrue="1">
      <formula>ISERROR(P57)</formula>
    </cfRule>
  </conditionalFormatting>
  <conditionalFormatting sqref="P71">
    <cfRule type="expression" dxfId="180" priority="180" stopIfTrue="1">
      <formula>ISERROR(P71)</formula>
    </cfRule>
  </conditionalFormatting>
  <conditionalFormatting sqref="P71">
    <cfRule type="expression" dxfId="179" priority="179" stopIfTrue="1">
      <formula>ISERROR(P71)</formula>
    </cfRule>
  </conditionalFormatting>
  <conditionalFormatting sqref="J76">
    <cfRule type="expression" dxfId="178" priority="178" stopIfTrue="1">
      <formula>ISERROR(J76)</formula>
    </cfRule>
  </conditionalFormatting>
  <conditionalFormatting sqref="J80">
    <cfRule type="expression" dxfId="177" priority="177" stopIfTrue="1">
      <formula>ISERROR(J80)</formula>
    </cfRule>
  </conditionalFormatting>
  <conditionalFormatting sqref="J80">
    <cfRule type="expression" dxfId="176" priority="176" stopIfTrue="1">
      <formula>ISERROR(J80)</formula>
    </cfRule>
  </conditionalFormatting>
  <conditionalFormatting sqref="M76">
    <cfRule type="expression" dxfId="175" priority="175" stopIfTrue="1">
      <formula>ISERROR(M76)</formula>
    </cfRule>
  </conditionalFormatting>
  <conditionalFormatting sqref="M80">
    <cfRule type="expression" dxfId="174" priority="174" stopIfTrue="1">
      <formula>ISERROR(M80)</formula>
    </cfRule>
  </conditionalFormatting>
  <conditionalFormatting sqref="M80">
    <cfRule type="expression" dxfId="173" priority="173" stopIfTrue="1">
      <formula>ISERROR(M80)</formula>
    </cfRule>
  </conditionalFormatting>
  <conditionalFormatting sqref="P76">
    <cfRule type="expression" dxfId="172" priority="172" stopIfTrue="1">
      <formula>ISERROR(P76)</formula>
    </cfRule>
  </conditionalFormatting>
  <conditionalFormatting sqref="P80">
    <cfRule type="expression" dxfId="171" priority="171" stopIfTrue="1">
      <formula>ISERROR(P80)</formula>
    </cfRule>
  </conditionalFormatting>
  <conditionalFormatting sqref="P80">
    <cfRule type="expression" dxfId="170" priority="170" stopIfTrue="1">
      <formula>ISERROR(P80)</formula>
    </cfRule>
  </conditionalFormatting>
  <conditionalFormatting sqref="R76">
    <cfRule type="expression" dxfId="169" priority="151" stopIfTrue="1">
      <formula>ISERROR(R76)</formula>
    </cfRule>
  </conditionalFormatting>
  <conditionalFormatting sqref="O76">
    <cfRule type="expression" dxfId="168" priority="154" stopIfTrue="1">
      <formula>ISERROR(O76)</formula>
    </cfRule>
  </conditionalFormatting>
  <conditionalFormatting sqref="P76">
    <cfRule type="expression" dxfId="167" priority="148" stopIfTrue="1">
      <formula>ISERROR(P76)</formula>
    </cfRule>
  </conditionalFormatting>
  <conditionalFormatting sqref="B76:G76 Q76:R76">
    <cfRule type="expression" dxfId="166" priority="169" stopIfTrue="1">
      <formula>ISERROR(B76)</formula>
    </cfRule>
  </conditionalFormatting>
  <conditionalFormatting sqref="Q76:R76 D76:G76">
    <cfRule type="expression" dxfId="165" priority="168" stopIfTrue="1">
      <formula>ISERROR(D76)</formula>
    </cfRule>
  </conditionalFormatting>
  <conditionalFormatting sqref="C76">
    <cfRule type="expression" dxfId="164" priority="167" stopIfTrue="1">
      <formula>ISERROR(C76)</formula>
    </cfRule>
  </conditionalFormatting>
  <conditionalFormatting sqref="E76">
    <cfRule type="expression" dxfId="163" priority="166" stopIfTrue="1">
      <formula>ISERROR(E76)</formula>
    </cfRule>
  </conditionalFormatting>
  <conditionalFormatting sqref="F76">
    <cfRule type="expression" dxfId="162" priority="165" stopIfTrue="1">
      <formula>ISERROR(F76)</formula>
    </cfRule>
  </conditionalFormatting>
  <conditionalFormatting sqref="H76">
    <cfRule type="expression" dxfId="161" priority="164" stopIfTrue="1">
      <formula>ISERROR(H76)</formula>
    </cfRule>
  </conditionalFormatting>
  <conditionalFormatting sqref="H76">
    <cfRule type="expression" dxfId="160" priority="163" stopIfTrue="1">
      <formula>ISERROR(H76)</formula>
    </cfRule>
  </conditionalFormatting>
  <conditionalFormatting sqref="I76">
    <cfRule type="expression" dxfId="159" priority="162" stopIfTrue="1">
      <formula>ISERROR(I76)</formula>
    </cfRule>
  </conditionalFormatting>
  <conditionalFormatting sqref="I76">
    <cfRule type="expression" dxfId="158" priority="161" stopIfTrue="1">
      <formula>ISERROR(I76)</formula>
    </cfRule>
  </conditionalFormatting>
  <conditionalFormatting sqref="K76">
    <cfRule type="expression" dxfId="157" priority="160" stopIfTrue="1">
      <formula>ISERROR(K76)</formula>
    </cfRule>
  </conditionalFormatting>
  <conditionalFormatting sqref="K76">
    <cfRule type="expression" dxfId="156" priority="159" stopIfTrue="1">
      <formula>ISERROR(K76)</formula>
    </cfRule>
  </conditionalFormatting>
  <conditionalFormatting sqref="L76">
    <cfRule type="expression" dxfId="155" priority="158" stopIfTrue="1">
      <formula>ISERROR(L76)</formula>
    </cfRule>
  </conditionalFormatting>
  <conditionalFormatting sqref="L76">
    <cfRule type="expression" dxfId="154" priority="157" stopIfTrue="1">
      <formula>ISERROR(L76)</formula>
    </cfRule>
  </conditionalFormatting>
  <conditionalFormatting sqref="N76">
    <cfRule type="expression" dxfId="153" priority="156" stopIfTrue="1">
      <formula>ISERROR(N76)</formula>
    </cfRule>
  </conditionalFormatting>
  <conditionalFormatting sqref="N76">
    <cfRule type="expression" dxfId="152" priority="155" stopIfTrue="1">
      <formula>ISERROR(N76)</formula>
    </cfRule>
  </conditionalFormatting>
  <conditionalFormatting sqref="O76">
    <cfRule type="expression" dxfId="151" priority="153" stopIfTrue="1">
      <formula>ISERROR(O76)</formula>
    </cfRule>
  </conditionalFormatting>
  <conditionalFormatting sqref="Q76">
    <cfRule type="expression" dxfId="150" priority="152" stopIfTrue="1">
      <formula>ISERROR(Q76)</formula>
    </cfRule>
  </conditionalFormatting>
  <conditionalFormatting sqref="J76">
    <cfRule type="expression" dxfId="149" priority="150" stopIfTrue="1">
      <formula>ISERROR(J76)</formula>
    </cfRule>
  </conditionalFormatting>
  <conditionalFormatting sqref="M76">
    <cfRule type="expression" dxfId="148" priority="149" stopIfTrue="1">
      <formula>ISERROR(M76)</formula>
    </cfRule>
  </conditionalFormatting>
  <conditionalFormatting sqref="S76">
    <cfRule type="expression" dxfId="147" priority="145" stopIfTrue="1">
      <formula>ISERROR(S76)</formula>
    </cfRule>
  </conditionalFormatting>
  <conditionalFormatting sqref="S76">
    <cfRule type="expression" dxfId="146" priority="147" stopIfTrue="1">
      <formula>ISERROR(S76)</formula>
    </cfRule>
  </conditionalFormatting>
  <conditionalFormatting sqref="S76">
    <cfRule type="expression" dxfId="145" priority="146" stopIfTrue="1">
      <formula>ISERROR(S76)</formula>
    </cfRule>
  </conditionalFormatting>
  <conditionalFormatting sqref="J76">
    <cfRule type="expression" dxfId="144" priority="144" stopIfTrue="1">
      <formula>ISERROR(J76)</formula>
    </cfRule>
  </conditionalFormatting>
  <conditionalFormatting sqref="J76">
    <cfRule type="expression" dxfId="143" priority="143" stopIfTrue="1">
      <formula>ISERROR(J76)</formula>
    </cfRule>
  </conditionalFormatting>
  <conditionalFormatting sqref="M76">
    <cfRule type="expression" dxfId="142" priority="142" stopIfTrue="1">
      <formula>ISERROR(M76)</formula>
    </cfRule>
  </conditionalFormatting>
  <conditionalFormatting sqref="M76">
    <cfRule type="expression" dxfId="141" priority="141" stopIfTrue="1">
      <formula>ISERROR(M76)</formula>
    </cfRule>
  </conditionalFormatting>
  <conditionalFormatting sqref="P76">
    <cfRule type="expression" dxfId="140" priority="140" stopIfTrue="1">
      <formula>ISERROR(P76)</formula>
    </cfRule>
  </conditionalFormatting>
  <conditionalFormatting sqref="P76">
    <cfRule type="expression" dxfId="139" priority="139" stopIfTrue="1">
      <formula>ISERROR(P76)</formula>
    </cfRule>
  </conditionalFormatting>
  <conditionalFormatting sqref="H8">
    <cfRule type="expression" dxfId="138" priority="138" stopIfTrue="1">
      <formula>ISERROR(H8)</formula>
    </cfRule>
  </conditionalFormatting>
  <conditionalFormatting sqref="H8">
    <cfRule type="expression" dxfId="137" priority="137" stopIfTrue="1">
      <formula>ISERROR(H8)</formula>
    </cfRule>
  </conditionalFormatting>
  <conditionalFormatting sqref="H8">
    <cfRule type="expression" dxfId="136" priority="136" stopIfTrue="1">
      <formula>ISERROR(H8)</formula>
    </cfRule>
  </conditionalFormatting>
  <conditionalFormatting sqref="I8">
    <cfRule type="expression" dxfId="135" priority="135" stopIfTrue="1">
      <formula>ISERROR(I8)</formula>
    </cfRule>
  </conditionalFormatting>
  <conditionalFormatting sqref="I8">
    <cfRule type="expression" dxfId="134" priority="134" stopIfTrue="1">
      <formula>ISERROR(I8)</formula>
    </cfRule>
  </conditionalFormatting>
  <conditionalFormatting sqref="I8">
    <cfRule type="expression" dxfId="133" priority="133" stopIfTrue="1">
      <formula>ISERROR(I8)</formula>
    </cfRule>
  </conditionalFormatting>
  <conditionalFormatting sqref="K8">
    <cfRule type="expression" dxfId="132" priority="132" stopIfTrue="1">
      <formula>ISERROR(K8)</formula>
    </cfRule>
  </conditionalFormatting>
  <conditionalFormatting sqref="K8">
    <cfRule type="expression" dxfId="131" priority="131" stopIfTrue="1">
      <formula>ISERROR(K8)</formula>
    </cfRule>
  </conditionalFormatting>
  <conditionalFormatting sqref="K8">
    <cfRule type="expression" dxfId="130" priority="130" stopIfTrue="1">
      <formula>ISERROR(K8)</formula>
    </cfRule>
  </conditionalFormatting>
  <conditionalFormatting sqref="L8">
    <cfRule type="expression" dxfId="129" priority="129" stopIfTrue="1">
      <formula>ISERROR(L8)</formula>
    </cfRule>
  </conditionalFormatting>
  <conditionalFormatting sqref="L8">
    <cfRule type="expression" dxfId="128" priority="128" stopIfTrue="1">
      <formula>ISERROR(L8)</formula>
    </cfRule>
  </conditionalFormatting>
  <conditionalFormatting sqref="L8">
    <cfRule type="expression" dxfId="127" priority="127" stopIfTrue="1">
      <formula>ISERROR(L8)</formula>
    </cfRule>
  </conditionalFormatting>
  <conditionalFormatting sqref="N8">
    <cfRule type="expression" dxfId="126" priority="126" stopIfTrue="1">
      <formula>ISERROR(N8)</formula>
    </cfRule>
  </conditionalFormatting>
  <conditionalFormatting sqref="N8">
    <cfRule type="expression" dxfId="125" priority="125" stopIfTrue="1">
      <formula>ISERROR(N8)</formula>
    </cfRule>
  </conditionalFormatting>
  <conditionalFormatting sqref="N8">
    <cfRule type="expression" dxfId="124" priority="124" stopIfTrue="1">
      <formula>ISERROR(N8)</formula>
    </cfRule>
  </conditionalFormatting>
  <conditionalFormatting sqref="O8">
    <cfRule type="expression" dxfId="123" priority="123" stopIfTrue="1">
      <formula>ISERROR(O8)</formula>
    </cfRule>
  </conditionalFormatting>
  <conditionalFormatting sqref="O8">
    <cfRule type="expression" dxfId="122" priority="122" stopIfTrue="1">
      <formula>ISERROR(O8)</formula>
    </cfRule>
  </conditionalFormatting>
  <conditionalFormatting sqref="O8">
    <cfRule type="expression" dxfId="121" priority="121" stopIfTrue="1">
      <formula>ISERROR(O8)</formula>
    </cfRule>
  </conditionalFormatting>
  <conditionalFormatting sqref="D7">
    <cfRule type="expression" dxfId="120" priority="120" stopIfTrue="1">
      <formula>ISERROR(D7)</formula>
    </cfRule>
  </conditionalFormatting>
  <conditionalFormatting sqref="F7">
    <cfRule type="expression" dxfId="119" priority="119" stopIfTrue="1">
      <formula>ISERROR(F7)</formula>
    </cfRule>
  </conditionalFormatting>
  <conditionalFormatting sqref="F7">
    <cfRule type="expression" dxfId="118" priority="118" stopIfTrue="1">
      <formula>ISERROR(F7)</formula>
    </cfRule>
  </conditionalFormatting>
  <conditionalFormatting sqref="H7:I7">
    <cfRule type="expression" dxfId="117" priority="117" stopIfTrue="1">
      <formula>ISERROR(H7)</formula>
    </cfRule>
  </conditionalFormatting>
  <conditionalFormatting sqref="I7">
    <cfRule type="expression" dxfId="116" priority="116" stopIfTrue="1">
      <formula>ISERROR(I7)</formula>
    </cfRule>
  </conditionalFormatting>
  <conditionalFormatting sqref="I7">
    <cfRule type="expression" dxfId="115" priority="115" stopIfTrue="1">
      <formula>ISERROR(I7)</formula>
    </cfRule>
  </conditionalFormatting>
  <conditionalFormatting sqref="K7:L7">
    <cfRule type="expression" dxfId="114" priority="114" stopIfTrue="1">
      <formula>ISERROR(K7)</formula>
    </cfRule>
  </conditionalFormatting>
  <conditionalFormatting sqref="K7:L7">
    <cfRule type="expression" dxfId="113" priority="113" stopIfTrue="1">
      <formula>ISERROR(K7)</formula>
    </cfRule>
  </conditionalFormatting>
  <conditionalFormatting sqref="L7">
    <cfRule type="expression" dxfId="112" priority="112" stopIfTrue="1">
      <formula>ISERROR(L7)</formula>
    </cfRule>
  </conditionalFormatting>
  <conditionalFormatting sqref="L7">
    <cfRule type="expression" dxfId="111" priority="111" stopIfTrue="1">
      <formula>ISERROR(L7)</formula>
    </cfRule>
  </conditionalFormatting>
  <conditionalFormatting sqref="N7:O7">
    <cfRule type="expression" dxfId="110" priority="110" stopIfTrue="1">
      <formula>ISERROR(N7)</formula>
    </cfRule>
  </conditionalFormatting>
  <conditionalFormatting sqref="N7:O7">
    <cfRule type="expression" dxfId="109" priority="109" stopIfTrue="1">
      <formula>ISERROR(N7)</formula>
    </cfRule>
  </conditionalFormatting>
  <conditionalFormatting sqref="N7:O7">
    <cfRule type="expression" dxfId="108" priority="108" stopIfTrue="1">
      <formula>ISERROR(N7)</formula>
    </cfRule>
  </conditionalFormatting>
  <conditionalFormatting sqref="O7">
    <cfRule type="expression" dxfId="107" priority="107" stopIfTrue="1">
      <formula>ISERROR(O7)</formula>
    </cfRule>
  </conditionalFormatting>
  <conditionalFormatting sqref="O7">
    <cfRule type="expression" dxfId="106" priority="106" stopIfTrue="1">
      <formula>ISERROR(O7)</formula>
    </cfRule>
  </conditionalFormatting>
  <conditionalFormatting sqref="R7">
    <cfRule type="expression" dxfId="105" priority="105" stopIfTrue="1">
      <formula>ISERROR(R7)</formula>
    </cfRule>
  </conditionalFormatting>
  <conditionalFormatting sqref="R7">
    <cfRule type="expression" dxfId="104" priority="104" stopIfTrue="1">
      <formula>ISERROR(R7)</formula>
    </cfRule>
  </conditionalFormatting>
  <conditionalFormatting sqref="J10:J29">
    <cfRule type="expression" dxfId="103" priority="103" stopIfTrue="1">
      <formula>ISERROR(J10)</formula>
    </cfRule>
  </conditionalFormatting>
  <conditionalFormatting sqref="M10:M29">
    <cfRule type="expression" dxfId="102" priority="102" stopIfTrue="1">
      <formula>ISERROR(M10)</formula>
    </cfRule>
  </conditionalFormatting>
  <conditionalFormatting sqref="P10:P29">
    <cfRule type="expression" dxfId="101" priority="101" stopIfTrue="1">
      <formula>ISERROR(P10)</formula>
    </cfRule>
  </conditionalFormatting>
  <conditionalFormatting sqref="M30">
    <cfRule type="expression" dxfId="100" priority="79" stopIfTrue="1">
      <formula>ISERROR(M30)</formula>
    </cfRule>
  </conditionalFormatting>
  <conditionalFormatting sqref="S30">
    <cfRule type="expression" dxfId="99" priority="100" stopIfTrue="1">
      <formula>ISERROR(S30)</formula>
    </cfRule>
  </conditionalFormatting>
  <conditionalFormatting sqref="L30">
    <cfRule type="expression" dxfId="98" priority="88" stopIfTrue="1">
      <formula>ISERROR(L30)</formula>
    </cfRule>
  </conditionalFormatting>
  <conditionalFormatting sqref="L30">
    <cfRule type="expression" dxfId="97" priority="87" stopIfTrue="1">
      <formula>ISERROR(L30)</formula>
    </cfRule>
  </conditionalFormatting>
  <conditionalFormatting sqref="K30">
    <cfRule type="expression" dxfId="96" priority="90" stopIfTrue="1">
      <formula>ISERROR(K30)</formula>
    </cfRule>
  </conditionalFormatting>
  <conditionalFormatting sqref="K30">
    <cfRule type="expression" dxfId="95" priority="89" stopIfTrue="1">
      <formula>ISERROR(K30)</formula>
    </cfRule>
  </conditionalFormatting>
  <conditionalFormatting sqref="P30">
    <cfRule type="expression" dxfId="94" priority="78" stopIfTrue="1">
      <formula>ISERROR(P30)</formula>
    </cfRule>
  </conditionalFormatting>
  <conditionalFormatting sqref="B30:G30 Q30:R30">
    <cfRule type="expression" dxfId="93" priority="99" stopIfTrue="1">
      <formula>ISERROR(B30)</formula>
    </cfRule>
  </conditionalFormatting>
  <conditionalFormatting sqref="Q30:R30 D30:G30">
    <cfRule type="expression" dxfId="92" priority="98" stopIfTrue="1">
      <formula>ISERROR(D30)</formula>
    </cfRule>
  </conditionalFormatting>
  <conditionalFormatting sqref="C30">
    <cfRule type="expression" dxfId="91" priority="97" stopIfTrue="1">
      <formula>ISERROR(C30)</formula>
    </cfRule>
  </conditionalFormatting>
  <conditionalFormatting sqref="E30">
    <cfRule type="expression" dxfId="90" priority="96" stopIfTrue="1">
      <formula>ISERROR(E30)</formula>
    </cfRule>
  </conditionalFormatting>
  <conditionalFormatting sqref="N30">
    <cfRule type="expression" dxfId="89" priority="86" stopIfTrue="1">
      <formula>ISERROR(N30)</formula>
    </cfRule>
  </conditionalFormatting>
  <conditionalFormatting sqref="N30">
    <cfRule type="expression" dxfId="88" priority="85" stopIfTrue="1">
      <formula>ISERROR(N30)</formula>
    </cfRule>
  </conditionalFormatting>
  <conditionalFormatting sqref="Q30">
    <cfRule type="expression" dxfId="87" priority="82" stopIfTrue="1">
      <formula>ISERROR(Q30)</formula>
    </cfRule>
  </conditionalFormatting>
  <conditionalFormatting sqref="R30">
    <cfRule type="expression" dxfId="86" priority="81" stopIfTrue="1">
      <formula>ISERROR(R30)</formula>
    </cfRule>
  </conditionalFormatting>
  <conditionalFormatting sqref="F30">
    <cfRule type="expression" dxfId="85" priority="95" stopIfTrue="1">
      <formula>ISERROR(F30)</formula>
    </cfRule>
  </conditionalFormatting>
  <conditionalFormatting sqref="H30">
    <cfRule type="expression" dxfId="84" priority="94" stopIfTrue="1">
      <formula>ISERROR(H30)</formula>
    </cfRule>
  </conditionalFormatting>
  <conditionalFormatting sqref="H30">
    <cfRule type="expression" dxfId="83" priority="93" stopIfTrue="1">
      <formula>ISERROR(H30)</formula>
    </cfRule>
  </conditionalFormatting>
  <conditionalFormatting sqref="I30">
    <cfRule type="expression" dxfId="82" priority="92" stopIfTrue="1">
      <formula>ISERROR(I30)</formula>
    </cfRule>
  </conditionalFormatting>
  <conditionalFormatting sqref="I30">
    <cfRule type="expression" dxfId="81" priority="91" stopIfTrue="1">
      <formula>ISERROR(I30)</formula>
    </cfRule>
  </conditionalFormatting>
  <conditionalFormatting sqref="O30">
    <cfRule type="expression" dxfId="80" priority="84" stopIfTrue="1">
      <formula>ISERROR(O30)</formula>
    </cfRule>
  </conditionalFormatting>
  <conditionalFormatting sqref="O30">
    <cfRule type="expression" dxfId="79" priority="83" stopIfTrue="1">
      <formula>ISERROR(O30)</formula>
    </cfRule>
  </conditionalFormatting>
  <conditionalFormatting sqref="J30">
    <cfRule type="expression" dxfId="78" priority="80" stopIfTrue="1">
      <formula>ISERROR(J30)</formula>
    </cfRule>
  </conditionalFormatting>
  <conditionalFormatting sqref="S30">
    <cfRule type="expression" dxfId="77" priority="77" stopIfTrue="1">
      <formula>ISERROR(S30)</formula>
    </cfRule>
  </conditionalFormatting>
  <conditionalFormatting sqref="S30">
    <cfRule type="expression" dxfId="76" priority="76" stopIfTrue="1">
      <formula>ISERROR(S30)</formula>
    </cfRule>
  </conditionalFormatting>
  <conditionalFormatting sqref="S30">
    <cfRule type="expression" dxfId="75" priority="75" stopIfTrue="1">
      <formula>ISERROR(S30)</formula>
    </cfRule>
  </conditionalFormatting>
  <conditionalFormatting sqref="J30">
    <cfRule type="expression" dxfId="74" priority="74" stopIfTrue="1">
      <formula>ISERROR(J30)</formula>
    </cfRule>
  </conditionalFormatting>
  <conditionalFormatting sqref="J30">
    <cfRule type="expression" dxfId="73" priority="73" stopIfTrue="1">
      <formula>ISERROR(J30)</formula>
    </cfRule>
  </conditionalFormatting>
  <conditionalFormatting sqref="M30">
    <cfRule type="expression" dxfId="72" priority="72" stopIfTrue="1">
      <formula>ISERROR(M30)</formula>
    </cfRule>
  </conditionalFormatting>
  <conditionalFormatting sqref="M30">
    <cfRule type="expression" dxfId="71" priority="71" stopIfTrue="1">
      <formula>ISERROR(M30)</formula>
    </cfRule>
  </conditionalFormatting>
  <conditionalFormatting sqref="P30">
    <cfRule type="expression" dxfId="70" priority="70" stopIfTrue="1">
      <formula>ISERROR(P30)</formula>
    </cfRule>
  </conditionalFormatting>
  <conditionalFormatting sqref="P30">
    <cfRule type="expression" dxfId="69" priority="69" stopIfTrue="1">
      <formula>ISERROR(P30)</formula>
    </cfRule>
  </conditionalFormatting>
  <conditionalFormatting sqref="S30">
    <cfRule type="expression" dxfId="68" priority="68" stopIfTrue="1">
      <formula>ISERROR(S30)</formula>
    </cfRule>
  </conditionalFormatting>
  <conditionalFormatting sqref="O30">
    <cfRule type="expression" dxfId="67" priority="52" stopIfTrue="1">
      <formula>ISERROR(O30)</formula>
    </cfRule>
  </conditionalFormatting>
  <conditionalFormatting sqref="P30">
    <cfRule type="expression" dxfId="66" priority="46" stopIfTrue="1">
      <formula>ISERROR(P30)</formula>
    </cfRule>
  </conditionalFormatting>
  <conditionalFormatting sqref="K30">
    <cfRule type="expression" dxfId="65" priority="58" stopIfTrue="1">
      <formula>ISERROR(K30)</formula>
    </cfRule>
  </conditionalFormatting>
  <conditionalFormatting sqref="K30">
    <cfRule type="expression" dxfId="64" priority="57" stopIfTrue="1">
      <formula>ISERROR(K30)</formula>
    </cfRule>
  </conditionalFormatting>
  <conditionalFormatting sqref="B30:G30 Q30:R30">
    <cfRule type="expression" dxfId="63" priority="67" stopIfTrue="1">
      <formula>ISERROR(B30)</formula>
    </cfRule>
  </conditionalFormatting>
  <conditionalFormatting sqref="Q30:R30 D30:G30">
    <cfRule type="expression" dxfId="62" priority="66" stopIfTrue="1">
      <formula>ISERROR(D30)</formula>
    </cfRule>
  </conditionalFormatting>
  <conditionalFormatting sqref="C30">
    <cfRule type="expression" dxfId="61" priority="65" stopIfTrue="1">
      <formula>ISERROR(C30)</formula>
    </cfRule>
  </conditionalFormatting>
  <conditionalFormatting sqref="E30">
    <cfRule type="expression" dxfId="60" priority="64" stopIfTrue="1">
      <formula>ISERROR(E30)</formula>
    </cfRule>
  </conditionalFormatting>
  <conditionalFormatting sqref="F30">
    <cfRule type="expression" dxfId="59" priority="63" stopIfTrue="1">
      <formula>ISERROR(F30)</formula>
    </cfRule>
  </conditionalFormatting>
  <conditionalFormatting sqref="H30">
    <cfRule type="expression" dxfId="58" priority="62" stopIfTrue="1">
      <formula>ISERROR(H30)</formula>
    </cfRule>
  </conditionalFormatting>
  <conditionalFormatting sqref="H30">
    <cfRule type="expression" dxfId="57" priority="61" stopIfTrue="1">
      <formula>ISERROR(H30)</formula>
    </cfRule>
  </conditionalFormatting>
  <conditionalFormatting sqref="I30">
    <cfRule type="expression" dxfId="56" priority="60" stopIfTrue="1">
      <formula>ISERROR(I30)</formula>
    </cfRule>
  </conditionalFormatting>
  <conditionalFormatting sqref="I30">
    <cfRule type="expression" dxfId="55" priority="59" stopIfTrue="1">
      <formula>ISERROR(I30)</formula>
    </cfRule>
  </conditionalFormatting>
  <conditionalFormatting sqref="L30">
    <cfRule type="expression" dxfId="54" priority="56" stopIfTrue="1">
      <formula>ISERROR(L30)</formula>
    </cfRule>
  </conditionalFormatting>
  <conditionalFormatting sqref="L30">
    <cfRule type="expression" dxfId="53" priority="55" stopIfTrue="1">
      <formula>ISERROR(L30)</formula>
    </cfRule>
  </conditionalFormatting>
  <conditionalFormatting sqref="N30">
    <cfRule type="expression" dxfId="52" priority="54" stopIfTrue="1">
      <formula>ISERROR(N30)</formula>
    </cfRule>
  </conditionalFormatting>
  <conditionalFormatting sqref="N30">
    <cfRule type="expression" dxfId="51" priority="53" stopIfTrue="1">
      <formula>ISERROR(N30)</formula>
    </cfRule>
  </conditionalFormatting>
  <conditionalFormatting sqref="O30">
    <cfRule type="expression" dxfId="50" priority="51" stopIfTrue="1">
      <formula>ISERROR(O30)</formula>
    </cfRule>
  </conditionalFormatting>
  <conditionalFormatting sqref="Q30">
    <cfRule type="expression" dxfId="49" priority="50" stopIfTrue="1">
      <formula>ISERROR(Q30)</formula>
    </cfRule>
  </conditionalFormatting>
  <conditionalFormatting sqref="R30">
    <cfRule type="expression" dxfId="48" priority="49" stopIfTrue="1">
      <formula>ISERROR(R30)</formula>
    </cfRule>
  </conditionalFormatting>
  <conditionalFormatting sqref="J30">
    <cfRule type="expression" dxfId="47" priority="48" stopIfTrue="1">
      <formula>ISERROR(J30)</formula>
    </cfRule>
  </conditionalFormatting>
  <conditionalFormatting sqref="M30">
    <cfRule type="expression" dxfId="46" priority="47" stopIfTrue="1">
      <formula>ISERROR(M30)</formula>
    </cfRule>
  </conditionalFormatting>
  <conditionalFormatting sqref="S30">
    <cfRule type="expression" dxfId="45" priority="45" stopIfTrue="1">
      <formula>ISERROR(S30)</formula>
    </cfRule>
  </conditionalFormatting>
  <conditionalFormatting sqref="S30">
    <cfRule type="expression" dxfId="44" priority="44" stopIfTrue="1">
      <formula>ISERROR(S30)</formula>
    </cfRule>
  </conditionalFormatting>
  <conditionalFormatting sqref="S30">
    <cfRule type="expression" dxfId="43" priority="43" stopIfTrue="1">
      <formula>ISERROR(S30)</formula>
    </cfRule>
  </conditionalFormatting>
  <conditionalFormatting sqref="J30">
    <cfRule type="expression" dxfId="42" priority="42" stopIfTrue="1">
      <formula>ISERROR(J30)</formula>
    </cfRule>
  </conditionalFormatting>
  <conditionalFormatting sqref="J30">
    <cfRule type="expression" dxfId="41" priority="41" stopIfTrue="1">
      <formula>ISERROR(J30)</formula>
    </cfRule>
  </conditionalFormatting>
  <conditionalFormatting sqref="M30">
    <cfRule type="expression" dxfId="40" priority="40" stopIfTrue="1">
      <formula>ISERROR(M30)</formula>
    </cfRule>
  </conditionalFormatting>
  <conditionalFormatting sqref="M30">
    <cfRule type="expression" dxfId="39" priority="39" stopIfTrue="1">
      <formula>ISERROR(M30)</formula>
    </cfRule>
  </conditionalFormatting>
  <conditionalFormatting sqref="P30">
    <cfRule type="expression" dxfId="38" priority="38" stopIfTrue="1">
      <formula>ISERROR(P30)</formula>
    </cfRule>
  </conditionalFormatting>
  <conditionalFormatting sqref="P30">
    <cfRule type="expression" dxfId="37" priority="37" stopIfTrue="1">
      <formula>ISERROR(P30)</formula>
    </cfRule>
  </conditionalFormatting>
  <conditionalFormatting sqref="M44">
    <cfRule type="expression" dxfId="36" priority="15" stopIfTrue="1">
      <formula>ISERROR(M44)</formula>
    </cfRule>
  </conditionalFormatting>
  <conditionalFormatting sqref="S44">
    <cfRule type="expression" dxfId="35" priority="36" stopIfTrue="1">
      <formula>ISERROR(S44)</formula>
    </cfRule>
  </conditionalFormatting>
  <conditionalFormatting sqref="L44">
    <cfRule type="expression" dxfId="34" priority="24" stopIfTrue="1">
      <formula>ISERROR(L44)</formula>
    </cfRule>
  </conditionalFormatting>
  <conditionalFormatting sqref="L44">
    <cfRule type="expression" dxfId="33" priority="23" stopIfTrue="1">
      <formula>ISERROR(L44)</formula>
    </cfRule>
  </conditionalFormatting>
  <conditionalFormatting sqref="K44">
    <cfRule type="expression" dxfId="32" priority="26" stopIfTrue="1">
      <formula>ISERROR(K44)</formula>
    </cfRule>
  </conditionalFormatting>
  <conditionalFormatting sqref="K44">
    <cfRule type="expression" dxfId="31" priority="25" stopIfTrue="1">
      <formula>ISERROR(K44)</formula>
    </cfRule>
  </conditionalFormatting>
  <conditionalFormatting sqref="P44">
    <cfRule type="expression" dxfId="30" priority="14" stopIfTrue="1">
      <formula>ISERROR(P44)</formula>
    </cfRule>
  </conditionalFormatting>
  <conditionalFormatting sqref="B44:G44 Q44:R44">
    <cfRule type="expression" dxfId="29" priority="35" stopIfTrue="1">
      <formula>ISERROR(B44)</formula>
    </cfRule>
  </conditionalFormatting>
  <conditionalFormatting sqref="Q44:R44 D44:G44">
    <cfRule type="expression" dxfId="28" priority="34" stopIfTrue="1">
      <formula>ISERROR(D44)</formula>
    </cfRule>
  </conditionalFormatting>
  <conditionalFormatting sqref="C44">
    <cfRule type="expression" dxfId="27" priority="33" stopIfTrue="1">
      <formula>ISERROR(C44)</formula>
    </cfRule>
  </conditionalFormatting>
  <conditionalFormatting sqref="E44">
    <cfRule type="expression" dxfId="26" priority="32" stopIfTrue="1">
      <formula>ISERROR(E44)</formula>
    </cfRule>
  </conditionalFormatting>
  <conditionalFormatting sqref="N44">
    <cfRule type="expression" dxfId="25" priority="22" stopIfTrue="1">
      <formula>ISERROR(N44)</formula>
    </cfRule>
  </conditionalFormatting>
  <conditionalFormatting sqref="N44">
    <cfRule type="expression" dxfId="24" priority="21" stopIfTrue="1">
      <formula>ISERROR(N44)</formula>
    </cfRule>
  </conditionalFormatting>
  <conditionalFormatting sqref="Q44">
    <cfRule type="expression" dxfId="23" priority="18" stopIfTrue="1">
      <formula>ISERROR(Q44)</formula>
    </cfRule>
  </conditionalFormatting>
  <conditionalFormatting sqref="R44">
    <cfRule type="expression" dxfId="22" priority="17" stopIfTrue="1">
      <formula>ISERROR(R44)</formula>
    </cfRule>
  </conditionalFormatting>
  <conditionalFormatting sqref="F44">
    <cfRule type="expression" dxfId="21" priority="31" stopIfTrue="1">
      <formula>ISERROR(F44)</formula>
    </cfRule>
  </conditionalFormatting>
  <conditionalFormatting sqref="H44">
    <cfRule type="expression" dxfId="20" priority="30" stopIfTrue="1">
      <formula>ISERROR(H44)</formula>
    </cfRule>
  </conditionalFormatting>
  <conditionalFormatting sqref="H44">
    <cfRule type="expression" dxfId="19" priority="29" stopIfTrue="1">
      <formula>ISERROR(H44)</formula>
    </cfRule>
  </conditionalFormatting>
  <conditionalFormatting sqref="I44">
    <cfRule type="expression" dxfId="18" priority="28" stopIfTrue="1">
      <formula>ISERROR(I44)</formula>
    </cfRule>
  </conditionalFormatting>
  <conditionalFormatting sqref="I44">
    <cfRule type="expression" dxfId="17" priority="27" stopIfTrue="1">
      <formula>ISERROR(I44)</formula>
    </cfRule>
  </conditionalFormatting>
  <conditionalFormatting sqref="O44">
    <cfRule type="expression" dxfId="16" priority="20" stopIfTrue="1">
      <formula>ISERROR(O44)</formula>
    </cfRule>
  </conditionalFormatting>
  <conditionalFormatting sqref="O44">
    <cfRule type="expression" dxfId="15" priority="19" stopIfTrue="1">
      <formula>ISERROR(O44)</formula>
    </cfRule>
  </conditionalFormatting>
  <conditionalFormatting sqref="J44">
    <cfRule type="expression" dxfId="14" priority="16" stopIfTrue="1">
      <formula>ISERROR(J44)</formula>
    </cfRule>
  </conditionalFormatting>
  <conditionalFormatting sqref="S44">
    <cfRule type="expression" dxfId="13" priority="13" stopIfTrue="1">
      <formula>ISERROR(S44)</formula>
    </cfRule>
  </conditionalFormatting>
  <conditionalFormatting sqref="S44">
    <cfRule type="expression" dxfId="12" priority="12" stopIfTrue="1">
      <formula>ISERROR(S44)</formula>
    </cfRule>
  </conditionalFormatting>
  <conditionalFormatting sqref="S44">
    <cfRule type="expression" dxfId="11" priority="11" stopIfTrue="1">
      <formula>ISERROR(S44)</formula>
    </cfRule>
  </conditionalFormatting>
  <conditionalFormatting sqref="J44">
    <cfRule type="expression" dxfId="10" priority="10" stopIfTrue="1">
      <formula>ISERROR(J44)</formula>
    </cfRule>
  </conditionalFormatting>
  <conditionalFormatting sqref="J44">
    <cfRule type="expression" dxfId="9" priority="9" stopIfTrue="1">
      <formula>ISERROR(J44)</formula>
    </cfRule>
  </conditionalFormatting>
  <conditionalFormatting sqref="M44">
    <cfRule type="expression" dxfId="8" priority="8" stopIfTrue="1">
      <formula>ISERROR(M44)</formula>
    </cfRule>
  </conditionalFormatting>
  <conditionalFormatting sqref="M44">
    <cfRule type="expression" dxfId="7" priority="7" stopIfTrue="1">
      <formula>ISERROR(M44)</formula>
    </cfRule>
  </conditionalFormatting>
  <conditionalFormatting sqref="P44">
    <cfRule type="expression" dxfId="6" priority="6" stopIfTrue="1">
      <formula>ISERROR(P44)</formula>
    </cfRule>
  </conditionalFormatting>
  <conditionalFormatting sqref="P44">
    <cfRule type="expression" dxfId="5" priority="5" stopIfTrue="1">
      <formula>ISERROR(P44)</formula>
    </cfRule>
  </conditionalFormatting>
  <conditionalFormatting sqref="S45">
    <cfRule type="expression" dxfId="4" priority="4" stopIfTrue="1">
      <formula>ISERROR(S45)</formula>
    </cfRule>
  </conditionalFormatting>
  <conditionalFormatting sqref="S45">
    <cfRule type="expression" dxfId="3" priority="3" stopIfTrue="1">
      <formula>ISERROR(S45)</formula>
    </cfRule>
  </conditionalFormatting>
  <conditionalFormatting sqref="S46">
    <cfRule type="expression" dxfId="2" priority="2" stopIfTrue="1">
      <formula>ISERROR(S46)</formula>
    </cfRule>
  </conditionalFormatting>
  <conditionalFormatting sqref="S46">
    <cfRule type="expression" dxfId="1" priority="1" stopIfTrue="1">
      <formula>ISERROR(S46)</formula>
    </cfRule>
  </conditionalFormatting>
  <printOptions horizontalCentered="1" verticalCentered="1"/>
  <pageMargins left="0.25" right="0.25" top="0.75" bottom="0.75" header="0.3" footer="0.3"/>
  <pageSetup scale="52" fitToHeight="2" orientation="landscape" r:id="rId1"/>
  <headerFooter>
    <oddHeader>&amp;C&amp;14VBA Monday Morning Workload Report</oddHeader>
    <oddFooter>&amp;LPrepared by VBA Office of Performance Analysis &amp; Integrity&amp;R&amp;A
Page: &amp;P of &amp;N</oddFooter>
  </headerFooter>
  <rowBreaks count="1" manualBreakCount="1">
    <brk id="71" max="16383" man="1"/>
  </rowBreaks>
  <ignoredErrors>
    <ignoredError sqref="G7 J7 M7 P7" formula="1"/>
  </ignoredError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Calendar_Year xmlns="c9744be7-b815-40bc-84fa-afc9c406d9bc">2016</Calendar_Year>
    <CP_Inventory xmlns="c9744be7-b815-40bc-84fa-afc9c406d9bc">352858</CP_Inventory>
    <Fiscal_Year xmlns="c9744be7-b815-40bc-84fa-afc9c406d9bc">2016</Fiscal_Year>
    <CP_Backlog xmlns="c9744be7-b815-40bc-84fa-afc9c406d9bc">76532</CP_Backlog>
    <Creation_date xmlns="c9744be7-b815-40bc-84fa-afc9c406d9bc">2016-05-09T00:00:00-05:00</Creation_date>
    <Data_date xmlns="c9744be7-b815-40bc-84fa-afc9c406d9bc">2016-05-07T00:00:00-05:00</Data_date>
    <_dlc_DocId xmlns="fef9c9dc-374b-4157-9e06-089f148416e5">OPAI-1003-1</_dlc_DocId>
    <_dlc_DocIdUrl xmlns="fef9c9dc-374b-4157-9e06-089f148416e5">
      <Url>https://vaww.portal2.va.gov/sites/pai/ReportsHub/MMWR_APP/_layouts/DocIdRedir.aspx?ID=OPAI-1003-1</Url>
      <Description>OPAI-1003-1</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FE5213B5EDB884398141553EBAD7133" ma:contentTypeVersion="12" ma:contentTypeDescription="Create a new document." ma:contentTypeScope="" ma:versionID="55846809042b4b0e7afb711533346b81">
  <xsd:schema xmlns:xsd="http://www.w3.org/2001/XMLSchema" xmlns:xs="http://www.w3.org/2001/XMLSchema" xmlns:p="http://schemas.microsoft.com/office/2006/metadata/properties" xmlns:ns2="fef9c9dc-374b-4157-9e06-089f148416e5" xmlns:ns3="c9744be7-b815-40bc-84fa-afc9c406d9bc" targetNamespace="http://schemas.microsoft.com/office/2006/metadata/properties" ma:root="true" ma:fieldsID="d8afd74162b56c551f12aea072f3e1d9" ns2:_="" ns3:_="">
    <xsd:import namespace="fef9c9dc-374b-4157-9e06-089f148416e5"/>
    <xsd:import namespace="c9744be7-b815-40bc-84fa-afc9c406d9bc"/>
    <xsd:element name="properties">
      <xsd:complexType>
        <xsd:sequence>
          <xsd:element name="documentManagement">
            <xsd:complexType>
              <xsd:all>
                <xsd:element ref="ns2:_dlc_DocId" minOccurs="0"/>
                <xsd:element ref="ns2:_dlc_DocIdUrl" minOccurs="0"/>
                <xsd:element ref="ns2:_dlc_DocIdPersistId" minOccurs="0"/>
                <xsd:element ref="ns3:Data_date"/>
                <xsd:element ref="ns3:Creation_date"/>
                <xsd:element ref="ns3:CP_Inventory"/>
                <xsd:element ref="ns3:CP_Backlog"/>
                <xsd:element ref="ns3:Fiscal_Year"/>
                <xsd:element ref="ns3:Calendar_Year"/>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f9c9dc-374b-4157-9e06-089f148416e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744be7-b815-40bc-84fa-afc9c406d9bc" elementFormDefault="qualified">
    <xsd:import namespace="http://schemas.microsoft.com/office/2006/documentManagement/types"/>
    <xsd:import namespace="http://schemas.microsoft.com/office/infopath/2007/PartnerControls"/>
    <xsd:element name="Data_date" ma:index="11" ma:displayName="Data_date" ma:description="The &quot;AS OF&quot; date of the data." ma:format="DateOnly" ma:internalName="Data_date">
      <xsd:simpleType>
        <xsd:restriction base="dms:DateTime"/>
      </xsd:simpleType>
    </xsd:element>
    <xsd:element name="Creation_date" ma:index="12" ma:displayName="Creation_date" ma:default="[today]" ma:description="Date the MMWR was originally created" ma:format="DateOnly" ma:internalName="Creation_date">
      <xsd:simpleType>
        <xsd:restriction base="dms:DateTime"/>
      </xsd:simpleType>
    </xsd:element>
    <xsd:element name="CP_Inventory" ma:index="13" ma:displayName="CP_RB_Inventory" ma:decimals="0" ma:default="0" ma:description="Compensation and Pension Rating Bundle Claims Inventory" ma:internalName="CP_Inventory" ma:percentage="FALSE">
      <xsd:simpleType>
        <xsd:restriction base="dms:Number">
          <xsd:minInclusive value="0"/>
        </xsd:restriction>
      </xsd:simpleType>
    </xsd:element>
    <xsd:element name="CP_Backlog" ma:index="14" ma:displayName="CP_RB_Backlog" ma:decimals="0" ma:default="0" ma:description="Compensation and Pension Rating Bundle Backlogged &#10;Claims Inventory" ma:internalName="CP_Backlog" ma:percentage="FALSE">
      <xsd:simpleType>
        <xsd:restriction base="dms:Number">
          <xsd:minInclusive value="0"/>
        </xsd:restriction>
      </xsd:simpleType>
    </xsd:element>
    <xsd:element name="Fiscal_Year" ma:index="15" ma:displayName="Fiscal_Year" ma:decimals="0" ma:description="Fiscal year of the data date" ma:internalName="Fiscal_Year">
      <xsd:simpleType>
        <xsd:restriction base="dms:Number">
          <xsd:minInclusive value="2000"/>
        </xsd:restriction>
      </xsd:simpleType>
    </xsd:element>
    <xsd:element name="Calendar_Year" ma:index="16" ma:displayName="Calendar_Year" ma:description="Calendar year of the data date" ma:internalName="Calendar_Year">
      <xsd:simpleType>
        <xsd:restriction base="dms:Number">
          <xsd:minInclusive value="2000"/>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Receiver>
    <Name>Nintex conditional workflow start</Name>
    <Synchronization>Synchronous</Synchronization>
    <Type>10001</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10002</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2</Type>
    <SequenceNumber>50000</SequenceNumber>
    <Assembly>Nintex.Workflow, Version=1.0.0.0, Culture=neutral, PublicKeyToken=913f6bae0ca5ae12</Assembly>
    <Class>Nintex.Workflow.ConditionalWorkflowStartReceiver</Class>
    <Data>635161512670371141</Data>
    <Filter/>
  </Receiver>
</spe:Receivers>
</file>

<file path=customXml/itemProps1.xml><?xml version="1.0" encoding="utf-8"?>
<ds:datastoreItem xmlns:ds="http://schemas.openxmlformats.org/officeDocument/2006/customXml" ds:itemID="{702957D3-0785-447F-B2B9-DE4BF4DA9AC1}">
  <ds:schemaRefs>
    <ds:schemaRef ds:uri="http://schemas.microsoft.com/office/2006/metadata/properties"/>
    <ds:schemaRef ds:uri="http://purl.org/dc/elements/1.1/"/>
    <ds:schemaRef ds:uri="c9744be7-b815-40bc-84fa-afc9c406d9bc"/>
    <ds:schemaRef ds:uri="http://schemas.microsoft.com/office/2006/documentManagement/types"/>
    <ds:schemaRef ds:uri="http://www.w3.org/XML/1998/namespace"/>
    <ds:schemaRef ds:uri="http://purl.org/dc/dcmitype/"/>
    <ds:schemaRef ds:uri="http://schemas.microsoft.com/office/infopath/2007/PartnerControls"/>
    <ds:schemaRef ds:uri="http://schemas.openxmlformats.org/package/2006/metadata/core-properties"/>
    <ds:schemaRef ds:uri="fef9c9dc-374b-4157-9e06-089f148416e5"/>
    <ds:schemaRef ds:uri="http://purl.org/dc/terms/"/>
  </ds:schemaRefs>
</ds:datastoreItem>
</file>

<file path=customXml/itemProps2.xml><?xml version="1.0" encoding="utf-8"?>
<ds:datastoreItem xmlns:ds="http://schemas.openxmlformats.org/officeDocument/2006/customXml" ds:itemID="{92FC8DD4-F994-4069-AB9C-4FB645B305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f9c9dc-374b-4157-9e06-089f148416e5"/>
    <ds:schemaRef ds:uri="c9744be7-b815-40bc-84fa-afc9c406d9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32F0326-63C8-4A60-891B-55B82B8D9BC0}">
  <ds:schemaRefs>
    <ds:schemaRef ds:uri="http://schemas.microsoft.com/sharepoint/v3/contenttype/forms"/>
  </ds:schemaRefs>
</ds:datastoreItem>
</file>

<file path=customXml/itemProps4.xml><?xml version="1.0" encoding="utf-8"?>
<ds:datastoreItem xmlns:ds="http://schemas.openxmlformats.org/officeDocument/2006/customXml" ds:itemID="{11DD91D3-0037-4AB4-BD6A-DE21515AF78F}">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64</vt:i4>
      </vt:variant>
    </vt:vector>
  </HeadingPairs>
  <TitlesOfParts>
    <vt:vector size="76" baseType="lpstr">
      <vt:lpstr>Legend</vt:lpstr>
      <vt:lpstr>Transformation</vt:lpstr>
      <vt:lpstr>Rating Bundle - SOJ</vt:lpstr>
      <vt:lpstr>Rating Bundle - SOO</vt:lpstr>
      <vt:lpstr>Rating Bundle - State</vt:lpstr>
      <vt:lpstr>Rating Bundle - SOJ - NWQ</vt:lpstr>
      <vt:lpstr>Rating Bundle - NWQ - State</vt:lpstr>
      <vt:lpstr>Traditional Aggregate (TA)</vt:lpstr>
      <vt:lpstr>TA-Regional Office</vt:lpstr>
      <vt:lpstr>Data</vt:lpstr>
      <vt:lpstr>Driver</vt:lpstr>
      <vt:lpstr>DT</vt:lpstr>
      <vt:lpstr>DIST_B</vt:lpstr>
      <vt:lpstr>DIST_B_N</vt:lpstr>
      <vt:lpstr>DIST_CN</vt:lpstr>
      <vt:lpstr>DIST_CN_NWQ</vt:lpstr>
      <vt:lpstr>DIST_CN_NWQD</vt:lpstr>
      <vt:lpstr>DIST_CN_NWQI</vt:lpstr>
      <vt:lpstr>DIST_CN_ST</vt:lpstr>
      <vt:lpstr>DIST_DEF</vt:lpstr>
      <vt:lpstr>DIST_ID</vt:lpstr>
      <vt:lpstr>DIST_NE</vt:lpstr>
      <vt:lpstr>DIST_NE_NWQ</vt:lpstr>
      <vt:lpstr>DIST_NE_NWQD</vt:lpstr>
      <vt:lpstr>DIST_NE_NWQI</vt:lpstr>
      <vt:lpstr>DIST_NE_ST</vt:lpstr>
      <vt:lpstr>DIST_OT</vt:lpstr>
      <vt:lpstr>DIST_OT_N</vt:lpstr>
      <vt:lpstr>DIST_OT_NWQ</vt:lpstr>
      <vt:lpstr>DIST_OT_NWQD</vt:lpstr>
      <vt:lpstr>DIST_OT_NWQI</vt:lpstr>
      <vt:lpstr>DIST_OT_ST</vt:lpstr>
      <vt:lpstr>DIST_P</vt:lpstr>
      <vt:lpstr>DIST_P_N</vt:lpstr>
      <vt:lpstr>DIST_PC</vt:lpstr>
      <vt:lpstr>DIST_PC_NWQ</vt:lpstr>
      <vt:lpstr>DIST_PC_NWQD</vt:lpstr>
      <vt:lpstr>DIST_PC_NWQI</vt:lpstr>
      <vt:lpstr>DIST_PC_ST</vt:lpstr>
      <vt:lpstr>DIST_Q</vt:lpstr>
      <vt:lpstr>DIST_Q_N</vt:lpstr>
      <vt:lpstr>DIST_SE</vt:lpstr>
      <vt:lpstr>DIST_SE_NWQ</vt:lpstr>
      <vt:lpstr>DIST_SE_NWQD</vt:lpstr>
      <vt:lpstr>DIST_SE_NWQI</vt:lpstr>
      <vt:lpstr>DIST_SE_ST</vt:lpstr>
      <vt:lpstr>DS_NWQ</vt:lpstr>
      <vt:lpstr>DS_NWQD</vt:lpstr>
      <vt:lpstr>DS_NWQI</vt:lpstr>
      <vt:lpstr>DS_RO</vt:lpstr>
      <vt:lpstr>DS_RO_N</vt:lpstr>
      <vt:lpstr>DS_RO_STG</vt:lpstr>
      <vt:lpstr>DS_ST</vt:lpstr>
      <vt:lpstr>RO</vt:lpstr>
      <vt:lpstr>RO_D</vt:lpstr>
      <vt:lpstr>SMD</vt:lpstr>
      <vt:lpstr>SMI</vt:lpstr>
      <vt:lpstr>SMS</vt:lpstr>
      <vt:lpstr>SMSA</vt:lpstr>
      <vt:lpstr>STATE</vt:lpstr>
      <vt:lpstr>STATE_D</vt:lpstr>
      <vt:lpstr>TA_1</vt:lpstr>
      <vt:lpstr>TA_20</vt:lpstr>
      <vt:lpstr>TA_21</vt:lpstr>
      <vt:lpstr>TA_22</vt:lpstr>
      <vt:lpstr>TA_23</vt:lpstr>
      <vt:lpstr>TA_24</vt:lpstr>
      <vt:lpstr>TA_25</vt:lpstr>
      <vt:lpstr>TA_26</vt:lpstr>
      <vt:lpstr>TA_30</vt:lpstr>
      <vt:lpstr>TA_31</vt:lpstr>
      <vt:lpstr>TA_32</vt:lpstr>
      <vt:lpstr>TA_33</vt:lpstr>
      <vt:lpstr>TA_34</vt:lpstr>
      <vt:lpstr>TA_35</vt:lpstr>
      <vt:lpstr>TA_36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May 9, 2016 Monday Morning Workload Report (Office of Performance Analysis and Integrity)</dc:title>
  <dc:subject>Monday Morning Workload Report</dc:subject>
  <dc:creator>McFadden, Patrick, VBAVACO</dc:creator>
  <cp:keywords>vacols, scorecard, rating, pending, 180, c&amp;p, wipp, pre-discharge,  appeals, SOC's, adjudicative, IVMs, guarantees, COE</cp:keywords>
  <cp:lastModifiedBy>Allison Blaisdell</cp:lastModifiedBy>
  <cp:lastPrinted>2015-06-19T18:10:05Z</cp:lastPrinted>
  <dcterms:created xsi:type="dcterms:W3CDTF">2009-08-25T18:46:26Z</dcterms:created>
  <dcterms:modified xsi:type="dcterms:W3CDTF">2019-03-18T12:31:24Z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Type">
    <vt:lpwstr>Report</vt:lpwstr>
  </property>
  <property fmtid="{D5CDD505-2E9C-101B-9397-08002B2CF9AE}" pid="6" name="ContentTypeId">
    <vt:lpwstr>0x0101005FE5213B5EDB884398141553EBAD7133</vt:lpwstr>
  </property>
  <property fmtid="{D5CDD505-2E9C-101B-9397-08002B2CF9AE}" pid="7" name="_dlc_DocIdItemGuid">
    <vt:lpwstr>b35c4e0f-4bb3-4860-9a7e-1b9831f94b05</vt:lpwstr>
  </property>
</Properties>
</file>