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10" yWindow="65491" windowWidth="18765" windowHeight="1173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<sst xmlns="http://schemas.openxmlformats.org/spreadsheetml/2006/main" count="1440" uniqueCount="597">
  <si>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</si>
  <si>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</si>
  <si>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</si>
  <si>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</si>
  <si>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</si>
  <si>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</si>
  <si>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</si>
  <si>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</si>
  <si>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</si>
  <si>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</si>
  <si>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</si>
  <si>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</si>
  <si>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</si>
  <si>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</si>
  <si>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</si>
  <si>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</si>
  <si>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</si>
  <si>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</si>
  <si>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</si>
  <si>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</si>
  <si>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</si>
  <si>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</si>
  <si>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</si>
  <si>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</si>
  <si>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</si>
  <si>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</si>
  <si>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</si>
  <si>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</si>
  <si>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</si>
  <si>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</si>
  <si>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</si>
  <si>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</si>
  <si>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</si>
  <si>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</si>
  <si>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</si>
  <si>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</si>
  <si>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</si>
  <si>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</si>
  <si>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</si>
  <si>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</si>
  <si>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</si>
  <si>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</si>
  <si>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</si>
  <si>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</si>
  <si>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</si>
  <si>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</si>
  <si>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</si>
  <si>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</si>
  <si>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</si>
  <si>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</si>
  <si>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</si>
  <si>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</si>
  <si>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</si>
  <si>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</si>
  <si>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</si>
  <si>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</si>
  <si>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</si>
  <si>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</si>
  <si>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</si>
  <si>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</si>
  <si>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</si>
  <si>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</si>
  <si>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</si>
  <si>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</si>
  <si>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</si>
  <si>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</si>
  <si>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</si>
  <si>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</si>
  <si>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</si>
  <si>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</si>
  <si>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</si>
  <si>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</si>
  <si>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</si>
  <si>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</si>
  <si>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</si>
  <si>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</si>
  <si>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</si>
  <si>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</si>
  <si>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</si>
  <si>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</si>
  <si>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</si>
  <si>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</si>
  <si>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</si>
  <si>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</si>
  <si>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</si>
  <si>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</si>
  <si>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</si>
  <si>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</si>
  <si>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</si>
  <si>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</si>
  <si>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</si>
  <si>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</si>
  <si>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</si>
  <si>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</si>
  <si>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</si>
  <si>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</si>
  <si>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</si>
  <si>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</si>
  <si>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</si>
  <si>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</si>
  <si>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</si>
  <si>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</si>
  <si>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</si>
  <si>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</si>
  <si>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</si>
  <si>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</si>
  <si>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</si>
  <si>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</si>
  <si>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</si>
  <si>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</si>
  <si>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</si>
  <si>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</si>
  <si>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</si>
  <si>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</si>
  <si>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</si>
  <si>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</si>
  <si>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</si>
  <si>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</si>
  <si>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</si>
  <si>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</si>
  <si>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</si>
  <si>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</si>
  <si>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</si>
  <si>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</si>
  <si>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</si>
  <si>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</si>
  <si>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</si>
  <si>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</si>
  <si>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</si>
  <si>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</si>
  <si>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</si>
  <si>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</si>
  <si>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</si>
  <si>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</si>
  <si>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</si>
  <si>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</si>
  <si>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</si>
  <si>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</si>
  <si>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</si>
  <si>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</si>
  <si>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</si>
  <si>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</si>
  <si>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</si>
  <si>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</si>
  <si>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</si>
  <si>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</si>
  <si>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</si>
  <si>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</si>
  <si>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</si>
  <si>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</si>
  <si>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</si>
  <si>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</si>
  <si>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</si>
  <si>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</si>
  <si>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</si>
  <si>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</si>
  <si>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</si>
  <si>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</si>
  <si>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</si>
  <si>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</si>
  <si>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</si>
  <si>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</si>
  <si>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</si>
  <si>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</si>
  <si>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</si>
  <si>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</si>
  <si>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</si>
  <si>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</si>
  <si>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</si>
  <si>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</si>
  <si>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</si>
  <si>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</si>
  <si>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</si>
  <si>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</si>
  <si>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</si>
  <si>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</si>
  <si>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</si>
  <si>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</si>
  <si>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</si>
  <si>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</si>
  <si>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</si>
  <si>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</si>
  <si>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</si>
  <si>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</si>
  <si>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</si>
  <si>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</si>
  <si>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</si>
  <si>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</si>
  <si>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</si>
  <si>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</si>
  <si>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</si>
  <si>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</si>
  <si>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</si>
  <si>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</si>
  <si>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</si>
  <si>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</si>
  <si>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</si>
  <si>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</si>
  <si>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</si>
  <si>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</si>
  <si>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</si>
  <si>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</si>
  <si>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</si>
  <si>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</si>
  <si>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</si>
  <si>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</si>
  <si>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</si>
  <si>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</si>
  <si>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</si>
  <si>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</si>
  <si>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</si>
  <si>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</si>
  <si>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</si>
  <si>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</si>
  <si>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</si>
  <si>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</si>
  <si>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</si>
  <si>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</si>
  <si>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</si>
  <si>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</si>
  <si>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</si>
  <si>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</si>
  <si>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</si>
  <si>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</si>
  <si>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</si>
  <si>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</si>
  <si>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</si>
  <si>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</si>
  <si>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</si>
  <si>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</si>
  <si>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</si>
  <si>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</si>
  <si>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</si>
  <si>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</si>
  <si>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</si>
  <si>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</si>
  <si>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</si>
  <si>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</si>
  <si>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</si>
  <si>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</si>
  <si>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</si>
  <si>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</si>
  <si>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</si>
  <si>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</si>
  <si>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</si>
  <si>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</si>
  <si>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</si>
  <si>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</si>
  <si>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</si>
  <si>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</si>
  <si>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</si>
  <si>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</si>
  <si>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</si>
  <si>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</si>
  <si>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</si>
  <si>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</si>
  <si>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</si>
  <si>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</si>
  <si>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</si>
  <si>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</si>
  <si>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</si>
  <si>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</si>
  <si>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</si>
  <si>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</si>
  <si>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</si>
  <si>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</si>
  <si>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</si>
  <si>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</si>
  <si>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</si>
  <si>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</si>
  <si>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</si>
  <si>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</si>
  <si>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</si>
  <si>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</si>
  <si>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</si>
  <si>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</si>
  <si>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</si>
  <si>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</si>
  <si>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</si>
  <si>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</si>
  <si>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</si>
  <si>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</si>
  <si>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</si>
  <si>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</si>
  <si>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</si>
  <si>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</si>
  <si>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</si>
  <si>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</si>
  <si>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</si>
  <si>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</si>
  <si>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</si>
  <si>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</si>
  <si>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</si>
  <si>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</si>
  <si>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</si>
  <si>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</si>
  <si>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</si>
  <si>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</si>
  <si>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</si>
  <si>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</si>
  <si>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</si>
  <si>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</si>
  <si>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</si>
  <si>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</si>
  <si>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</si>
  <si>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</si>
  <si>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</si>
  <si>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</si>
  <si>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</si>
  <si>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</si>
  <si>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</si>
  <si>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</si>
  <si>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</si>
  <si>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</si>
  <si>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</si>
  <si>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</si>
  <si>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</si>
  <si>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</si>
  <si>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</si>
  <si>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</si>
  <si>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</si>
  <si>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</si>
  <si>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</si>
  <si>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</si>
  <si>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</si>
  <si>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</si>
  <si>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</si>
  <si>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</si>
  <si>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</si>
  <si>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</si>
  <si>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</si>
  <si>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</si>
  <si>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</si>
  <si>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</si>
  <si>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</si>
  <si>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</si>
  <si>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</si>
  <si>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</si>
  <si>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</si>
  <si>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</si>
  <si>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</si>
  <si>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</si>
  <si>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</si>
  <si>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</si>
  <si>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</si>
  <si>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</si>
  <si>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</si>
  <si>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</si>
  <si>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</si>
  <si>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</si>
  <si>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</si>
  <si>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</si>
  <si>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</si>
  <si>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</si>
  <si>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</si>
  <si>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</si>
  <si>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</si>
  <si>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</si>
  <si>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</si>
  <si>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</si>
  <si>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</si>
  <si>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</si>
  <si>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</si>
  <si>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</si>
  <si>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</si>
  <si>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</si>
  <si>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</si>
  <si>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</si>
  <si>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</si>
  <si>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</si>
  <si>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</si>
  <si>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</si>
  <si>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</si>
  <si>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</si>
  <si>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</si>
  <si>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</si>
  <si>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</si>
  <si>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</si>
  <si>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</si>
  <si>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</si>
  <si>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</si>
  <si>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</si>
  <si>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</si>
  <si>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</si>
  <si>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</si>
  <si>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</si>
  <si>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</si>
  <si>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</si>
  <si>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</si>
  <si>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</si>
  <si>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</si>
  <si>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</si>
  <si>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</si>
  <si>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</si>
  <si>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</si>
  <si>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</si>
  <si>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</si>
  <si>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</si>
  <si>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</si>
  <si>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</si>
  <si>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</si>
  <si>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</si>
  <si>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</si>
  <si>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</si>
  <si>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</si>
  <si>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</si>
  <si>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</si>
  <si>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</si>
  <si>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</si>
  <si>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</si>
  <si>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</si>
  <si>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</si>
  <si>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</si>
  <si>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</si>
  <si>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</si>
  <si>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</si>
  <si>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</si>
  <si>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</si>
  <si>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</si>
  <si>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</si>
  <si>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</si>
  <si>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</si>
  <si>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</si>
  <si>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</si>
  <si>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</si>
  <si>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</si>
  <si>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</si>
  <si>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</si>
  <si>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</si>
  <si>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</si>
  <si>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</si>
  <si>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</si>
  <si>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</si>
  <si>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</si>
  <si>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</si>
  <si>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</si>
  <si>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</si>
  <si>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</si>
  <si>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</si>
  <si>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</si>
  <si>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</si>
  <si>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</si>
  <si>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</si>
  <si>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</si>
  <si>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</si>
  <si>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</si>
  <si>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</si>
  <si>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</si>
  <si>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</si>
  <si>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</si>
  <si>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</si>
  <si>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</si>
  <si>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</si>
  <si>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</si>
  <si>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</si>
  <si>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</si>
  <si>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</si>
  <si>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</si>
  <si>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</si>
  <si>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</si>
  <si>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</si>
  <si>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</si>
  <si>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</si>
  <si>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</si>
  <si>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</si>
  <si>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</si>
  <si>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</si>
  <si>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</si>
  <si>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</si>
  <si>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</si>
  <si>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</si>
  <si>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</si>
  <si>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</si>
  <si>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</si>
  <si>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</si>
  <si>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</si>
  <si>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</si>
  <si>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</si>
  <si>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</si>
  <si>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</si>
  <si>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</si>
  <si>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</si>
  <si>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</si>
  <si>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</si>
  <si>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</si>
  <si>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</si>
  <si>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</si>
  <si>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</si>
  <si>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</si>
  <si>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</si>
  <si>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</si>
  <si>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</si>
  <si>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</si>
  <si>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</si>
  <si>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</si>
  <si>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</si>
  <si>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</si>
  <si>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</si>
  <si>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</si>
  <si>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</si>
  <si>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</si>
  <si>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</si>
  <si>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</si>
  <si>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</si>
  <si>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</si>
  <si>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</si>
  <si>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</si>
  <si>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</si>
  <si>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</si>
  <si>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</si>
  <si>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</si>
  <si>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</si>
  <si>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</si>
  <si>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</si>
  <si>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</si>
  <si>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</si>
  <si>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</si>
  <si>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</si>
  <si>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</si>
  <si>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</si>
  <si>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</si>
  <si>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</si>
  <si>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</si>
  <si>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</si>
  <si>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</si>
  <si>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</si>
  <si>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</si>
  <si>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</si>
  <si>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</si>
  <si>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</si>
  <si>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</si>
  <si>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</si>
  <si>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</si>
  <si>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</si>
  <si>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</si>
  <si>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</si>
  <si>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</si>
  <si>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</si>
  <si>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</si>
  <si>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</si>
  <si>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</si>
  <si>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</si>
  <si>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</si>
  <si>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</si>
  <si>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</si>
  <si>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</si>
  <si>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</si>
  <si>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</si>
  <si>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</si>
  <si>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</si>
  <si>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</si>
  <si>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</si>
  <si>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</si>
  <si>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</si>
  <si>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</si>
  <si>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</si>
  <si>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</si>
  <si>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</si>
  <si>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</si>
  <si>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</si>
  <si>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</si>
  <si>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</si>
  <si>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</si>
  <si>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</si>
  <si>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</si>
  <si>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</si>
  <si>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</si>
  <si>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</si>
  <si>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</si>
  <si>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</si>
  <si>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</si>
  <si>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</si>
  <si>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</si>
  <si>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</si>
  <si>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</si>
  <si>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</si>
  <si>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</si>
  <si>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</si>
  <si>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</si>
  <si>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</si>
  <si>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</si>
  <si>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</si>
  <si>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</si>
  <si>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</si>
  <si>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</si>
  <si>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</si>
  <si>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</si>
  <si>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</si>
  <si>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</si>
  <si>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</si>
  <si>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</si>
  <si>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</si>
  <si>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</si>
  <si>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</si>
  <si>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0</t>
  </si>
  <si>
    <t>As of  December 29, 2012</t>
  </si>
  <si>
    <t>Reopened or new Agent Orange claims After 9/01/10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</si>
</sst>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3" fontId="8" fillId="35" borderId="5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AUTOMATED_REPORTS\MMWL_Reports\Weekly_Appeals\R_Apls02_AppealsPndg_Weekly.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01-14-13"/>
      <sheetName val="01-07-13"/>
      <sheetName val="12-31-12"/>
      <sheetName val="12-26-12"/>
      <sheetName val="12-17-12"/>
      <sheetName val="12-10-12"/>
      <sheetName val="12-03-12"/>
      <sheetName val="11-26-12"/>
      <sheetName val="11-19-12"/>
      <sheetName val="11-13-12"/>
      <sheetName val="11-05-12"/>
      <sheetName val="10-31-12"/>
      <sheetName val="10-22-12"/>
      <sheetName val="10-15-12"/>
      <sheetName val="10-09-12"/>
      <sheetName val="10-01-12"/>
      <sheetName val="ResultingReport"/>
      <sheetName val="F_EDW"/>
      <sheetName val="Macros"/>
    </sheetNames>
    <sheetDataSet>
      <sheetData sheetId="17">
        <row r="7">
          <cell r="M7">
            <v>12204</v>
          </cell>
        </row>
        <row r="8">
          <cell r="J8">
            <v>3493</v>
          </cell>
        </row>
        <row r="9">
          <cell r="J9">
            <v>4057</v>
          </cell>
        </row>
        <row r="10">
          <cell r="J10">
            <v>1179</v>
          </cell>
        </row>
        <row r="11">
          <cell r="J11">
            <v>8127</v>
          </cell>
        </row>
        <row r="12">
          <cell r="J12">
            <v>5836</v>
          </cell>
        </row>
        <row r="13">
          <cell r="J13">
            <v>747</v>
          </cell>
        </row>
        <row r="14">
          <cell r="J14">
            <v>4552</v>
          </cell>
        </row>
        <row r="15">
          <cell r="J15">
            <v>716</v>
          </cell>
        </row>
        <row r="16">
          <cell r="J16">
            <v>3754</v>
          </cell>
        </row>
        <row r="17">
          <cell r="J17">
            <v>2144</v>
          </cell>
        </row>
        <row r="19">
          <cell r="J19">
            <v>3010</v>
          </cell>
        </row>
        <row r="20">
          <cell r="J20">
            <v>772</v>
          </cell>
        </row>
        <row r="21">
          <cell r="J21">
            <v>2824</v>
          </cell>
        </row>
        <row r="24">
          <cell r="J24">
            <v>914</v>
          </cell>
        </row>
        <row r="25">
          <cell r="J25">
            <v>524</v>
          </cell>
        </row>
        <row r="26">
          <cell r="J26">
            <v>342</v>
          </cell>
        </row>
        <row r="29">
          <cell r="J29">
            <v>565</v>
          </cell>
        </row>
        <row r="31">
          <cell r="J31">
            <v>11827</v>
          </cell>
        </row>
        <row r="32">
          <cell r="J32">
            <v>6243</v>
          </cell>
        </row>
        <row r="33">
          <cell r="J33">
            <v>3309</v>
          </cell>
        </row>
        <row r="34">
          <cell r="J34">
            <v>4061</v>
          </cell>
        </row>
        <row r="35">
          <cell r="J35">
            <v>3344</v>
          </cell>
        </row>
        <row r="36">
          <cell r="J36">
            <v>10667</v>
          </cell>
        </row>
        <row r="37">
          <cell r="J37">
            <v>6420</v>
          </cell>
        </row>
        <row r="38">
          <cell r="J38">
            <v>6914</v>
          </cell>
        </row>
        <row r="39">
          <cell r="J39">
            <v>5098</v>
          </cell>
        </row>
        <row r="40">
          <cell r="J40">
            <v>20750</v>
          </cell>
        </row>
        <row r="41">
          <cell r="J41">
            <v>0</v>
          </cell>
        </row>
        <row r="42">
          <cell r="J42">
            <v>11242</v>
          </cell>
        </row>
        <row r="44">
          <cell r="J44">
            <v>5692</v>
          </cell>
        </row>
        <row r="45">
          <cell r="J45">
            <v>1186</v>
          </cell>
        </row>
        <row r="46">
          <cell r="J46">
            <v>287</v>
          </cell>
        </row>
        <row r="47">
          <cell r="J47">
            <v>14056</v>
          </cell>
        </row>
        <row r="50">
          <cell r="J50">
            <v>1581</v>
          </cell>
        </row>
        <row r="51">
          <cell r="J51">
            <v>5249</v>
          </cell>
        </row>
        <row r="53">
          <cell r="J53">
            <v>3335</v>
          </cell>
        </row>
        <row r="54">
          <cell r="J54">
            <v>692</v>
          </cell>
        </row>
        <row r="55">
          <cell r="J55">
            <v>3072</v>
          </cell>
        </row>
        <row r="56">
          <cell r="J56">
            <v>4677</v>
          </cell>
        </row>
        <row r="57">
          <cell r="J57">
            <v>230</v>
          </cell>
        </row>
        <row r="58">
          <cell r="J58">
            <v>5382</v>
          </cell>
        </row>
        <row r="60">
          <cell r="J60">
            <v>1387</v>
          </cell>
        </row>
        <row r="61">
          <cell r="J61">
            <v>767</v>
          </cell>
        </row>
        <row r="62">
          <cell r="J62">
            <v>12877</v>
          </cell>
        </row>
        <row r="63">
          <cell r="J63">
            <v>952</v>
          </cell>
        </row>
        <row r="65">
          <cell r="J65">
            <v>1795</v>
          </cell>
        </row>
        <row r="66">
          <cell r="J66">
            <v>152</v>
          </cell>
        </row>
        <row r="67">
          <cell r="J67">
            <v>993</v>
          </cell>
        </row>
        <row r="68">
          <cell r="J68">
            <v>301</v>
          </cell>
        </row>
        <row r="69">
          <cell r="J69">
            <v>3789</v>
          </cell>
        </row>
        <row r="70">
          <cell r="J70">
            <v>272</v>
          </cell>
        </row>
        <row r="71">
          <cell r="J71">
            <v>777</v>
          </cell>
        </row>
        <row r="72">
          <cell r="J72">
            <v>5937</v>
          </cell>
        </row>
        <row r="73">
          <cell r="J73">
            <v>1797</v>
          </cell>
        </row>
        <row r="74">
          <cell r="J74">
            <v>7405</v>
          </cell>
        </row>
        <row r="75">
          <cell r="J75">
            <v>5053</v>
          </cell>
        </row>
        <row r="76">
          <cell r="J76">
            <v>5338</v>
          </cell>
        </row>
        <row r="77">
          <cell r="J77">
            <v>922</v>
          </cell>
        </row>
        <row r="78">
          <cell r="J78">
            <v>1556</v>
          </cell>
        </row>
        <row r="79">
          <cell r="J79">
            <v>4016</v>
          </cell>
        </row>
        <row r="80">
          <cell r="J80">
            <v>5229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2">
        <v>95</v>
      </c>
      <c r="G13" s="313" t="s">
        <v>401</v>
      </c>
      <c r="H13" s="313" t="s">
        <v>402</v>
      </c>
      <c r="I13" s="313" t="s">
        <v>403</v>
      </c>
      <c r="J13" s="313" t="s">
        <v>404</v>
      </c>
      <c r="K13" s="313" t="s">
        <v>405</v>
      </c>
      <c r="L13" s="313" t="s">
        <v>406</v>
      </c>
      <c r="M13" s="313">
        <v>133</v>
      </c>
    </row>
    <row r="14" spans="6:13" ht="16.5" thickBot="1">
      <c r="F14" s="314" t="s">
        <v>407</v>
      </c>
      <c r="G14" s="315" t="s">
        <v>408</v>
      </c>
      <c r="H14" s="315" t="s">
        <v>409</v>
      </c>
      <c r="I14" s="315">
        <v>314</v>
      </c>
      <c r="J14" s="315">
        <v>680</v>
      </c>
      <c r="K14" s="315">
        <v>682</v>
      </c>
      <c r="L14" s="315">
        <v>684</v>
      </c>
      <c r="M14" s="315">
        <v>685</v>
      </c>
    </row>
    <row r="15" spans="6:13" ht="16.5" thickBot="1">
      <c r="F15" s="314">
        <v>690</v>
      </c>
      <c r="G15" s="315" t="s">
        <v>410</v>
      </c>
      <c r="H15" s="315">
        <v>173</v>
      </c>
      <c r="I15" s="316" t="s">
        <v>411</v>
      </c>
      <c r="J15" s="316" t="s">
        <v>412</v>
      </c>
      <c r="K15" s="316">
        <v>510</v>
      </c>
      <c r="L15" s="316" t="s">
        <v>413</v>
      </c>
      <c r="M15" s="315" t="s">
        <v>414</v>
      </c>
    </row>
    <row r="16" spans="6:13" ht="16.5" thickBot="1">
      <c r="F16" s="314" t="s">
        <v>415</v>
      </c>
      <c r="G16" s="315" t="s">
        <v>416</v>
      </c>
      <c r="H16" s="315" t="s">
        <v>417</v>
      </c>
      <c r="I16" s="317" t="s">
        <v>418</v>
      </c>
      <c r="J16" s="316">
        <v>135</v>
      </c>
      <c r="K16" s="316">
        <v>137</v>
      </c>
      <c r="L16" s="316" t="s">
        <v>419</v>
      </c>
      <c r="M16" s="316">
        <v>155</v>
      </c>
    </row>
    <row r="17" spans="6:13" ht="16.5" thickBot="1">
      <c r="F17" s="318">
        <v>297</v>
      </c>
      <c r="G17" s="316">
        <v>607</v>
      </c>
      <c r="H17" s="316">
        <v>154</v>
      </c>
      <c r="I17" s="315">
        <v>696</v>
      </c>
      <c r="J17" s="315">
        <v>697</v>
      </c>
      <c r="K17" s="316">
        <v>407</v>
      </c>
      <c r="L17" s="316">
        <v>507</v>
      </c>
      <c r="M17" s="316">
        <v>937</v>
      </c>
    </row>
    <row r="18" spans="6:13" ht="16.5" thickBot="1">
      <c r="F18" s="314">
        <v>967</v>
      </c>
      <c r="G18" s="315" t="s">
        <v>420</v>
      </c>
      <c r="H18" s="315">
        <v>165</v>
      </c>
      <c r="I18" s="315">
        <v>167</v>
      </c>
      <c r="J18" s="315">
        <v>681</v>
      </c>
      <c r="K18" s="315">
        <v>687</v>
      </c>
      <c r="L18" s="319" t="s">
        <v>421</v>
      </c>
      <c r="M18" s="315"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8" t="s">
        <v>498</v>
      </c>
      <c r="B1" s="468"/>
      <c r="C1" s="468" t="s">
        <v>557</v>
      </c>
      <c r="D1" s="468"/>
    </row>
    <row r="2" spans="1:4" ht="12.75">
      <c r="A2" s="292" t="s">
        <v>486</v>
      </c>
      <c r="B2" s="292" t="s">
        <v>556</v>
      </c>
      <c r="C2" s="292" t="s">
        <v>486</v>
      </c>
      <c r="D2" s="292" t="s">
        <v>556</v>
      </c>
    </row>
    <row r="3" spans="2:4" ht="12.75">
      <c r="B3">
        <v>25</v>
      </c>
      <c r="D3">
        <v>12</v>
      </c>
    </row>
    <row r="4" spans="1:4" ht="12.75">
      <c r="A4" t="s">
        <v>499</v>
      </c>
      <c r="B4">
        <v>10532</v>
      </c>
      <c r="C4" t="s">
        <v>499</v>
      </c>
      <c r="D4">
        <v>6368</v>
      </c>
    </row>
    <row r="5" spans="1:4" ht="12.75">
      <c r="A5" t="s">
        <v>560</v>
      </c>
      <c r="B5">
        <v>70766</v>
      </c>
      <c r="C5" t="s">
        <v>560</v>
      </c>
      <c r="D5">
        <v>25963</v>
      </c>
    </row>
    <row r="6" spans="1:4" ht="12.75">
      <c r="A6" t="s">
        <v>500</v>
      </c>
      <c r="B6">
        <v>19741</v>
      </c>
      <c r="C6" t="s">
        <v>500</v>
      </c>
      <c r="D6">
        <v>11587</v>
      </c>
    </row>
    <row r="7" spans="1:4" ht="12.75">
      <c r="A7" t="s">
        <v>501</v>
      </c>
      <c r="B7">
        <v>4553</v>
      </c>
      <c r="C7" t="s">
        <v>501</v>
      </c>
      <c r="D7">
        <v>4530</v>
      </c>
    </row>
    <row r="8" spans="1:4" ht="12.75">
      <c r="A8" t="s">
        <v>502</v>
      </c>
      <c r="B8">
        <v>9143</v>
      </c>
      <c r="C8" t="s">
        <v>502</v>
      </c>
      <c r="D8">
        <v>5562</v>
      </c>
    </row>
    <row r="9" spans="1:4" ht="12.75">
      <c r="A9" t="s">
        <v>503</v>
      </c>
      <c r="B9">
        <v>529</v>
      </c>
      <c r="C9" t="s">
        <v>503</v>
      </c>
      <c r="D9">
        <v>396</v>
      </c>
    </row>
    <row r="10" spans="1:4" ht="12.75">
      <c r="A10" t="s">
        <v>487</v>
      </c>
      <c r="B10">
        <v>371</v>
      </c>
      <c r="C10" t="s">
        <v>487</v>
      </c>
      <c r="D10">
        <v>249</v>
      </c>
    </row>
    <row r="11" spans="1:4" ht="12.75">
      <c r="A11" t="s">
        <v>488</v>
      </c>
      <c r="B11">
        <v>143</v>
      </c>
      <c r="C11" t="s">
        <v>488</v>
      </c>
      <c r="D11">
        <v>101</v>
      </c>
    </row>
    <row r="12" spans="1:4" ht="12.75">
      <c r="A12" t="s">
        <v>490</v>
      </c>
      <c r="B12">
        <v>7</v>
      </c>
      <c r="C12" t="s">
        <v>490</v>
      </c>
      <c r="D12">
        <v>7</v>
      </c>
    </row>
    <row r="13" spans="1:4" ht="12.75">
      <c r="A13" t="s">
        <v>504</v>
      </c>
      <c r="B13">
        <v>1822</v>
      </c>
      <c r="C13" t="s">
        <v>504</v>
      </c>
      <c r="D13">
        <v>68</v>
      </c>
    </row>
    <row r="14" spans="1:4" ht="12.75">
      <c r="A14" t="s">
        <v>505</v>
      </c>
      <c r="B14">
        <v>21289</v>
      </c>
      <c r="C14" t="s">
        <v>505</v>
      </c>
      <c r="D14">
        <v>8600</v>
      </c>
    </row>
    <row r="15" spans="1:4" ht="12.75">
      <c r="A15" t="s">
        <v>506</v>
      </c>
      <c r="B15">
        <v>303</v>
      </c>
      <c r="C15" t="s">
        <v>506</v>
      </c>
      <c r="D15">
        <v>77</v>
      </c>
    </row>
    <row r="16" spans="1:4" ht="12.75">
      <c r="A16" t="s">
        <v>27</v>
      </c>
      <c r="B16">
        <v>13098</v>
      </c>
      <c r="C16" t="s">
        <v>27</v>
      </c>
      <c r="D16">
        <v>10086</v>
      </c>
    </row>
    <row r="17" spans="1:4" ht="12.75">
      <c r="A17" t="s">
        <v>234</v>
      </c>
      <c r="B17">
        <v>63979</v>
      </c>
      <c r="C17" t="s">
        <v>234</v>
      </c>
      <c r="D17">
        <v>34762</v>
      </c>
    </row>
    <row r="18" spans="1:4" ht="12.75">
      <c r="A18" t="s">
        <v>508</v>
      </c>
      <c r="B18">
        <v>9842</v>
      </c>
      <c r="C18" t="s">
        <v>508</v>
      </c>
      <c r="D18">
        <v>6449</v>
      </c>
    </row>
    <row r="19" spans="1:4" ht="12.75">
      <c r="A19" t="s">
        <v>509</v>
      </c>
      <c r="B19">
        <v>2228</v>
      </c>
      <c r="C19" t="s">
        <v>509</v>
      </c>
      <c r="D19">
        <v>428</v>
      </c>
    </row>
    <row r="20" spans="1:4" ht="12.75">
      <c r="A20" t="s">
        <v>510</v>
      </c>
      <c r="B20">
        <v>921</v>
      </c>
      <c r="C20" t="s">
        <v>510</v>
      </c>
      <c r="D20">
        <v>612</v>
      </c>
    </row>
    <row r="21" spans="1:4" ht="12.75">
      <c r="A21" t="s">
        <v>511</v>
      </c>
      <c r="B21">
        <v>25068</v>
      </c>
      <c r="C21" t="s">
        <v>511</v>
      </c>
      <c r="D21">
        <v>16089</v>
      </c>
    </row>
    <row r="22" spans="1:4" ht="12.75">
      <c r="A22" t="s">
        <v>512</v>
      </c>
      <c r="B22">
        <v>109</v>
      </c>
      <c r="C22" t="s">
        <v>512</v>
      </c>
      <c r="D22">
        <v>99</v>
      </c>
    </row>
    <row r="23" spans="1:4" ht="12.75">
      <c r="A23" t="s">
        <v>214</v>
      </c>
      <c r="B23">
        <v>169865</v>
      </c>
      <c r="C23" t="s">
        <v>214</v>
      </c>
      <c r="D23">
        <v>117142</v>
      </c>
    </row>
    <row r="24" spans="1:4" ht="12.75">
      <c r="A24" t="s">
        <v>513</v>
      </c>
      <c r="B24">
        <v>42287</v>
      </c>
      <c r="C24" t="s">
        <v>513</v>
      </c>
      <c r="D24">
        <v>20106</v>
      </c>
    </row>
    <row r="25" spans="1:4" ht="12.75">
      <c r="A25" t="s">
        <v>514</v>
      </c>
      <c r="B25">
        <v>1036</v>
      </c>
      <c r="C25" t="s">
        <v>514</v>
      </c>
      <c r="D25">
        <v>1002</v>
      </c>
    </row>
    <row r="26" spans="1:4" ht="12.75">
      <c r="A26" t="s">
        <v>515</v>
      </c>
      <c r="B26">
        <v>26688</v>
      </c>
      <c r="C26" t="s">
        <v>515</v>
      </c>
      <c r="D26">
        <v>14428</v>
      </c>
    </row>
    <row r="27" spans="1:4" ht="12.75">
      <c r="A27" t="s">
        <v>516</v>
      </c>
      <c r="B27">
        <v>15966</v>
      </c>
      <c r="C27" t="s">
        <v>516</v>
      </c>
      <c r="D27">
        <v>6496</v>
      </c>
    </row>
    <row r="28" spans="1:4" ht="12.75">
      <c r="A28" t="s">
        <v>517</v>
      </c>
      <c r="B28">
        <v>2018</v>
      </c>
      <c r="C28" t="s">
        <v>517</v>
      </c>
      <c r="D28">
        <v>811</v>
      </c>
    </row>
    <row r="29" spans="1:4" ht="12.75">
      <c r="A29" t="s">
        <v>518</v>
      </c>
      <c r="B29">
        <v>482457</v>
      </c>
      <c r="C29" t="s">
        <v>518</v>
      </c>
      <c r="D29">
        <v>336334</v>
      </c>
    </row>
    <row r="30" spans="1:4" ht="12.75">
      <c r="A30" t="s">
        <v>519</v>
      </c>
      <c r="B30">
        <v>41033</v>
      </c>
      <c r="C30" t="s">
        <v>519</v>
      </c>
      <c r="D30">
        <v>29588</v>
      </c>
    </row>
    <row r="31" spans="1:4" ht="12.75">
      <c r="A31" t="s">
        <v>520</v>
      </c>
      <c r="B31">
        <v>7555</v>
      </c>
      <c r="C31" t="s">
        <v>520</v>
      </c>
      <c r="D31">
        <v>2230</v>
      </c>
    </row>
    <row r="32" spans="1:4" ht="12.75">
      <c r="A32" t="s">
        <v>521</v>
      </c>
      <c r="B32">
        <v>16528</v>
      </c>
      <c r="C32" t="s">
        <v>521</v>
      </c>
      <c r="D32">
        <v>6298</v>
      </c>
    </row>
    <row r="33" spans="1:4" ht="12.75">
      <c r="A33" t="s">
        <v>522</v>
      </c>
      <c r="B33">
        <v>2079</v>
      </c>
      <c r="C33" t="s">
        <v>522</v>
      </c>
      <c r="D33">
        <v>766</v>
      </c>
    </row>
    <row r="34" spans="1:4" ht="12.75">
      <c r="A34" t="s">
        <v>523</v>
      </c>
      <c r="B34">
        <v>242825</v>
      </c>
      <c r="C34" t="s">
        <v>523</v>
      </c>
      <c r="D34">
        <v>174080</v>
      </c>
    </row>
    <row r="35" spans="1:4" ht="12.75">
      <c r="A35" t="s">
        <v>524</v>
      </c>
      <c r="B35">
        <v>74248</v>
      </c>
      <c r="C35" t="s">
        <v>524</v>
      </c>
      <c r="D35">
        <v>50855</v>
      </c>
    </row>
    <row r="36" spans="1:4" ht="12.75">
      <c r="A36" t="s">
        <v>525</v>
      </c>
      <c r="B36">
        <v>13833</v>
      </c>
      <c r="C36" t="s">
        <v>525</v>
      </c>
      <c r="D36">
        <v>6001</v>
      </c>
    </row>
    <row r="37" spans="1:4" ht="12.75">
      <c r="A37" t="s">
        <v>526</v>
      </c>
      <c r="B37">
        <v>49658</v>
      </c>
      <c r="C37" t="s">
        <v>526</v>
      </c>
      <c r="D37">
        <v>31616</v>
      </c>
    </row>
    <row r="38" spans="1:4" ht="12.75">
      <c r="A38" t="s">
        <v>527</v>
      </c>
      <c r="B38">
        <v>11351</v>
      </c>
      <c r="C38" t="s">
        <v>527</v>
      </c>
      <c r="D38">
        <v>3799</v>
      </c>
    </row>
    <row r="39" spans="1:4" ht="12.75">
      <c r="A39" t="s">
        <v>558</v>
      </c>
      <c r="B39">
        <v>2539</v>
      </c>
      <c r="C39" t="s">
        <v>558</v>
      </c>
      <c r="D39">
        <v>2035</v>
      </c>
    </row>
    <row r="40" spans="1:4" ht="12.75">
      <c r="A40" t="s">
        <v>528</v>
      </c>
      <c r="B40">
        <v>73211</v>
      </c>
      <c r="C40" t="s">
        <v>528</v>
      </c>
      <c r="D40">
        <v>54946</v>
      </c>
    </row>
    <row r="41" spans="1:4" ht="12.75">
      <c r="A41" t="s">
        <v>529</v>
      </c>
      <c r="B41">
        <v>1326</v>
      </c>
      <c r="C41" t="s">
        <v>529</v>
      </c>
      <c r="D41">
        <v>831</v>
      </c>
    </row>
    <row r="42" spans="1:4" ht="12.75">
      <c r="A42" t="s">
        <v>530</v>
      </c>
      <c r="B42">
        <v>2197</v>
      </c>
      <c r="C42" t="s">
        <v>530</v>
      </c>
      <c r="D42">
        <v>1719</v>
      </c>
    </row>
    <row r="43" spans="1:4" ht="12.75">
      <c r="A43" t="s">
        <v>531</v>
      </c>
      <c r="B43">
        <v>133</v>
      </c>
      <c r="C43" t="s">
        <v>531</v>
      </c>
      <c r="D43">
        <v>130</v>
      </c>
    </row>
    <row r="44" spans="1:4" ht="12.75">
      <c r="A44" t="s">
        <v>532</v>
      </c>
      <c r="B44">
        <v>26</v>
      </c>
      <c r="C44" t="s">
        <v>532</v>
      </c>
      <c r="D44">
        <v>23</v>
      </c>
    </row>
    <row r="45" spans="1:4" ht="12.75">
      <c r="A45" t="s">
        <v>533</v>
      </c>
      <c r="B45">
        <v>29312</v>
      </c>
      <c r="C45" t="s">
        <v>533</v>
      </c>
      <c r="D45">
        <v>25036</v>
      </c>
    </row>
    <row r="46" spans="1:4" ht="12.75">
      <c r="A46" t="s">
        <v>534</v>
      </c>
      <c r="B46">
        <v>16644</v>
      </c>
      <c r="C46" t="s">
        <v>534</v>
      </c>
      <c r="D46">
        <v>60</v>
      </c>
    </row>
    <row r="47" spans="1:4" ht="12.75">
      <c r="A47" t="s">
        <v>535</v>
      </c>
      <c r="B47">
        <v>974</v>
      </c>
      <c r="C47" t="s">
        <v>535</v>
      </c>
      <c r="D47">
        <v>892</v>
      </c>
    </row>
    <row r="48" spans="1:4" ht="12.75">
      <c r="A48" t="s">
        <v>536</v>
      </c>
      <c r="B48">
        <v>36393</v>
      </c>
      <c r="C48" t="s">
        <v>536</v>
      </c>
      <c r="D48">
        <v>26981</v>
      </c>
    </row>
    <row r="49" spans="1:4" ht="12.75">
      <c r="A49" t="s">
        <v>537</v>
      </c>
      <c r="B49">
        <v>31</v>
      </c>
      <c r="C49" t="s">
        <v>537</v>
      </c>
      <c r="D49">
        <v>21</v>
      </c>
    </row>
    <row r="50" spans="1:4" ht="12.75">
      <c r="A50" t="s">
        <v>538</v>
      </c>
      <c r="B50">
        <v>1799</v>
      </c>
      <c r="C50" t="s">
        <v>538</v>
      </c>
      <c r="D50">
        <v>1449</v>
      </c>
    </row>
    <row r="54" spans="1:3" ht="12.75">
      <c r="A54" s="292" t="s">
        <v>561</v>
      </c>
      <c r="C54" s="292" t="s">
        <v>562</v>
      </c>
    </row>
    <row r="55" spans="1:4" ht="12.75">
      <c r="A55">
        <v>1817</v>
      </c>
      <c r="B55">
        <f>VLOOKUP(Transformation!C35,Query_from_MS_Access_Database_5,2,FALSE)-A55</f>
        <v>201</v>
      </c>
      <c r="C55">
        <v>658</v>
      </c>
      <c r="D55">
        <f>VLOOKUP(Transformation!C35,Query_from_MS_Access_Database_6,2,FALSE)-C55</f>
        <v>153</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7" t="s">
        <v>563</v>
      </c>
      <c r="B1" s="467"/>
      <c r="C1" s="467"/>
      <c r="D1" s="467"/>
      <c r="E1" s="467"/>
      <c r="F1" s="336"/>
      <c r="G1" s="336"/>
      <c r="H1" s="336"/>
      <c r="I1" s="336"/>
      <c r="J1" s="336"/>
      <c r="K1" s="336"/>
    </row>
    <row r="2" spans="1:5" ht="12.75">
      <c r="A2" s="292" t="s">
        <v>426</v>
      </c>
      <c r="B2" s="292" t="s">
        <v>564</v>
      </c>
      <c r="C2" s="292" t="s">
        <v>493</v>
      </c>
      <c r="D2" s="292" t="s">
        <v>565</v>
      </c>
      <c r="E2" s="292" t="s">
        <v>544</v>
      </c>
    </row>
    <row r="3" ht="12.75">
      <c r="A3" t="s">
        <v>69</v>
      </c>
    </row>
    <row r="4" spans="1:5" ht="12.75">
      <c r="A4" t="s">
        <v>431</v>
      </c>
      <c r="B4">
        <v>909</v>
      </c>
      <c r="C4">
        <v>453</v>
      </c>
      <c r="D4">
        <v>3</v>
      </c>
      <c r="E4">
        <v>3</v>
      </c>
    </row>
    <row r="5" spans="1:5" ht="12.75">
      <c r="A5" t="s">
        <v>433</v>
      </c>
      <c r="B5">
        <v>1457</v>
      </c>
      <c r="C5">
        <v>688</v>
      </c>
      <c r="D5">
        <v>4</v>
      </c>
      <c r="E5">
        <v>4</v>
      </c>
    </row>
    <row r="6" spans="1:3" ht="12.75">
      <c r="A6" t="s">
        <v>334</v>
      </c>
      <c r="B6">
        <v>374</v>
      </c>
      <c r="C6">
        <v>126</v>
      </c>
    </row>
    <row r="7" spans="1:4" ht="12.75">
      <c r="A7" t="s">
        <v>436</v>
      </c>
      <c r="B7">
        <v>2188</v>
      </c>
      <c r="C7">
        <v>1150</v>
      </c>
      <c r="D7">
        <v>3</v>
      </c>
    </row>
    <row r="8" spans="1:5" ht="12.75">
      <c r="A8" t="s">
        <v>440</v>
      </c>
      <c r="B8">
        <v>2041</v>
      </c>
      <c r="C8">
        <v>334</v>
      </c>
      <c r="D8">
        <v>7</v>
      </c>
      <c r="E8">
        <v>2</v>
      </c>
    </row>
    <row r="9" spans="1:5" ht="12.75">
      <c r="A9" t="s">
        <v>443</v>
      </c>
      <c r="B9">
        <v>179</v>
      </c>
      <c r="C9">
        <v>7</v>
      </c>
      <c r="D9">
        <v>2</v>
      </c>
      <c r="E9">
        <v>2</v>
      </c>
    </row>
    <row r="10" spans="1:5" ht="12.75">
      <c r="A10" t="s">
        <v>447</v>
      </c>
      <c r="B10">
        <v>685</v>
      </c>
      <c r="C10">
        <v>381</v>
      </c>
      <c r="D10">
        <v>2</v>
      </c>
      <c r="E10">
        <v>2</v>
      </c>
    </row>
    <row r="11" spans="1:5" ht="12.75">
      <c r="A11" t="s">
        <v>453</v>
      </c>
      <c r="B11">
        <v>222</v>
      </c>
      <c r="C11">
        <v>74</v>
      </c>
      <c r="D11">
        <v>1</v>
      </c>
      <c r="E11">
        <v>1</v>
      </c>
    </row>
    <row r="12" spans="1:5" ht="12.75">
      <c r="A12" t="s">
        <v>459</v>
      </c>
      <c r="B12">
        <v>856</v>
      </c>
      <c r="C12">
        <v>287</v>
      </c>
      <c r="D12">
        <v>2</v>
      </c>
      <c r="E12">
        <v>1</v>
      </c>
    </row>
    <row r="13" spans="1:4" ht="12.75">
      <c r="A13" t="s">
        <v>460</v>
      </c>
      <c r="B13">
        <v>942</v>
      </c>
      <c r="C13">
        <v>39</v>
      </c>
      <c r="D13">
        <v>1</v>
      </c>
    </row>
    <row r="14" spans="1:5" ht="12.75">
      <c r="A14" t="s">
        <v>462</v>
      </c>
      <c r="B14">
        <v>6600</v>
      </c>
      <c r="C14">
        <v>3040</v>
      </c>
      <c r="D14">
        <v>28210</v>
      </c>
      <c r="E14">
        <v>11648</v>
      </c>
    </row>
    <row r="15" spans="1:5" ht="12.75">
      <c r="A15" t="s">
        <v>464</v>
      </c>
      <c r="B15">
        <v>794</v>
      </c>
      <c r="C15">
        <v>423</v>
      </c>
      <c r="D15">
        <v>39</v>
      </c>
      <c r="E15">
        <v>37</v>
      </c>
    </row>
    <row r="16" spans="1:3" ht="12.75">
      <c r="A16" t="s">
        <v>466</v>
      </c>
      <c r="B16">
        <v>265</v>
      </c>
      <c r="C16">
        <v>187</v>
      </c>
    </row>
    <row r="17" spans="1:5" ht="12.75">
      <c r="A17" t="s">
        <v>477</v>
      </c>
      <c r="B17">
        <v>877</v>
      </c>
      <c r="C17">
        <v>408</v>
      </c>
      <c r="D17">
        <v>2</v>
      </c>
      <c r="E17">
        <v>1</v>
      </c>
    </row>
    <row r="18" spans="1:3" ht="12.75">
      <c r="A18" t="s">
        <v>481</v>
      </c>
      <c r="B18">
        <v>39</v>
      </c>
      <c r="C18">
        <v>30</v>
      </c>
    </row>
    <row r="19" spans="1:3" ht="12.75">
      <c r="A19" t="s">
        <v>483</v>
      </c>
      <c r="B19">
        <v>62</v>
      </c>
      <c r="C19">
        <v>4</v>
      </c>
    </row>
    <row r="20" spans="1:5" ht="12.75">
      <c r="A20" t="s">
        <v>335</v>
      </c>
      <c r="B20">
        <v>2079</v>
      </c>
      <c r="C20">
        <v>403</v>
      </c>
      <c r="D20">
        <v>5</v>
      </c>
      <c r="E20">
        <v>4</v>
      </c>
    </row>
    <row r="21" spans="1:5" ht="12.75">
      <c r="A21" t="s">
        <v>437</v>
      </c>
      <c r="B21">
        <v>870</v>
      </c>
      <c r="C21">
        <v>323</v>
      </c>
      <c r="D21">
        <v>6</v>
      </c>
      <c r="E21">
        <v>4</v>
      </c>
    </row>
    <row r="22" spans="1:5" ht="12.75">
      <c r="A22" t="s">
        <v>446</v>
      </c>
      <c r="B22">
        <v>271</v>
      </c>
      <c r="C22">
        <v>122</v>
      </c>
      <c r="D22">
        <v>3</v>
      </c>
      <c r="E22">
        <v>2</v>
      </c>
    </row>
    <row r="23" spans="1:5" ht="12.75">
      <c r="A23" t="s">
        <v>448</v>
      </c>
      <c r="B23">
        <v>1510</v>
      </c>
      <c r="C23">
        <v>1052</v>
      </c>
      <c r="D23">
        <v>8</v>
      </c>
      <c r="E23">
        <v>6</v>
      </c>
    </row>
    <row r="24" spans="1:5" ht="12.75">
      <c r="A24" t="s">
        <v>452</v>
      </c>
      <c r="B24">
        <v>1529</v>
      </c>
      <c r="C24">
        <v>1057</v>
      </c>
      <c r="D24">
        <v>1</v>
      </c>
      <c r="E24">
        <v>1</v>
      </c>
    </row>
    <row r="25" spans="1:5" ht="12.75">
      <c r="A25" t="s">
        <v>456</v>
      </c>
      <c r="B25">
        <v>3337</v>
      </c>
      <c r="C25">
        <v>1894</v>
      </c>
      <c r="D25">
        <v>4</v>
      </c>
      <c r="E25">
        <v>3</v>
      </c>
    </row>
    <row r="26" spans="1:5" ht="12.75">
      <c r="A26" t="s">
        <v>457</v>
      </c>
      <c r="B26">
        <v>1061</v>
      </c>
      <c r="C26">
        <v>331</v>
      </c>
      <c r="D26">
        <v>3</v>
      </c>
      <c r="E26">
        <v>2</v>
      </c>
    </row>
    <row r="27" spans="1:5" ht="12.75">
      <c r="A27" t="s">
        <v>468</v>
      </c>
      <c r="B27">
        <v>1108</v>
      </c>
      <c r="C27">
        <v>377</v>
      </c>
      <c r="D27">
        <v>3</v>
      </c>
      <c r="E27">
        <v>3</v>
      </c>
    </row>
    <row r="28" spans="1:5" ht="12.75">
      <c r="A28" t="s">
        <v>471</v>
      </c>
      <c r="B28">
        <v>315</v>
      </c>
      <c r="C28">
        <v>179</v>
      </c>
      <c r="D28">
        <v>3</v>
      </c>
      <c r="E28">
        <v>3</v>
      </c>
    </row>
    <row r="29" spans="1:5" ht="12.75">
      <c r="A29" t="s">
        <v>476</v>
      </c>
      <c r="B29">
        <v>2720</v>
      </c>
      <c r="C29">
        <v>591</v>
      </c>
      <c r="D29">
        <v>13</v>
      </c>
      <c r="E29">
        <v>10</v>
      </c>
    </row>
    <row r="30" spans="1:3" ht="12.75">
      <c r="A30" t="s">
        <v>479</v>
      </c>
      <c r="B30">
        <v>148</v>
      </c>
      <c r="C30">
        <v>40</v>
      </c>
    </row>
    <row r="31" spans="1:5" ht="12.75">
      <c r="A31" t="s">
        <v>484</v>
      </c>
      <c r="B31">
        <v>6078</v>
      </c>
      <c r="C31">
        <v>5123</v>
      </c>
      <c r="D31">
        <v>14</v>
      </c>
      <c r="E31">
        <v>6</v>
      </c>
    </row>
    <row r="32" spans="1:5" ht="12.75">
      <c r="A32" t="s">
        <v>435</v>
      </c>
      <c r="B32">
        <v>992</v>
      </c>
      <c r="C32">
        <v>671</v>
      </c>
      <c r="D32">
        <v>1</v>
      </c>
      <c r="E32">
        <v>1</v>
      </c>
    </row>
    <row r="33" spans="1:3" ht="12.75">
      <c r="A33" t="s">
        <v>439</v>
      </c>
      <c r="B33">
        <v>281</v>
      </c>
      <c r="C33">
        <v>113</v>
      </c>
    </row>
    <row r="34" spans="1:3" ht="12.75">
      <c r="A34" t="s">
        <v>441</v>
      </c>
      <c r="B34">
        <v>79</v>
      </c>
      <c r="C34">
        <v>21</v>
      </c>
    </row>
    <row r="35" spans="1:5" ht="12.75">
      <c r="A35" t="s">
        <v>445</v>
      </c>
      <c r="B35">
        <v>2004</v>
      </c>
      <c r="C35">
        <v>971</v>
      </c>
      <c r="D35">
        <v>1</v>
      </c>
      <c r="E35">
        <v>1</v>
      </c>
    </row>
    <row r="36" spans="1:3" ht="12.75">
      <c r="A36" t="s">
        <v>449</v>
      </c>
      <c r="B36">
        <v>247</v>
      </c>
      <c r="C36">
        <v>86</v>
      </c>
    </row>
    <row r="37" spans="1:5" ht="12.75">
      <c r="A37" t="s">
        <v>450</v>
      </c>
      <c r="B37">
        <v>1539</v>
      </c>
      <c r="C37">
        <v>985</v>
      </c>
      <c r="D37">
        <v>2</v>
      </c>
      <c r="E37">
        <v>2</v>
      </c>
    </row>
    <row r="38" spans="1:5" ht="12.75">
      <c r="A38" t="s">
        <v>455</v>
      </c>
      <c r="B38">
        <v>1840</v>
      </c>
      <c r="C38">
        <v>333</v>
      </c>
      <c r="D38">
        <v>19708</v>
      </c>
      <c r="E38">
        <v>5131</v>
      </c>
    </row>
    <row r="39" spans="1:5" ht="12.75">
      <c r="A39" t="s">
        <v>337</v>
      </c>
      <c r="B39">
        <v>1026</v>
      </c>
      <c r="C39">
        <v>398</v>
      </c>
      <c r="D39">
        <v>2</v>
      </c>
      <c r="E39">
        <v>2</v>
      </c>
    </row>
    <row r="40" spans="1:5" ht="12.75">
      <c r="A40" t="s">
        <v>458</v>
      </c>
      <c r="B40">
        <v>371</v>
      </c>
      <c r="C40">
        <v>181</v>
      </c>
      <c r="D40">
        <v>6</v>
      </c>
      <c r="E40">
        <v>5</v>
      </c>
    </row>
    <row r="41" spans="1:3" ht="12.75">
      <c r="A41" t="s">
        <v>473</v>
      </c>
      <c r="B41">
        <v>367</v>
      </c>
      <c r="C41">
        <v>35</v>
      </c>
    </row>
    <row r="42" spans="1:5" ht="12.75">
      <c r="A42" t="s">
        <v>474</v>
      </c>
      <c r="B42">
        <v>1246</v>
      </c>
      <c r="C42">
        <v>785</v>
      </c>
      <c r="D42">
        <v>4</v>
      </c>
      <c r="E42">
        <v>3</v>
      </c>
    </row>
    <row r="43" spans="1:5" ht="12.75">
      <c r="A43" t="s">
        <v>475</v>
      </c>
      <c r="B43">
        <v>4625</v>
      </c>
      <c r="C43">
        <v>1927</v>
      </c>
      <c r="D43">
        <v>24056</v>
      </c>
      <c r="E43">
        <v>9942</v>
      </c>
    </row>
    <row r="44" spans="1:5" ht="12.75">
      <c r="A44" t="s">
        <v>478</v>
      </c>
      <c r="B44">
        <v>1415</v>
      </c>
      <c r="C44">
        <v>604</v>
      </c>
      <c r="D44">
        <v>7</v>
      </c>
      <c r="E44">
        <v>6</v>
      </c>
    </row>
    <row r="45" spans="1:5" ht="12.75">
      <c r="A45" t="s">
        <v>482</v>
      </c>
      <c r="B45">
        <v>121</v>
      </c>
      <c r="C45">
        <v>32</v>
      </c>
      <c r="D45">
        <v>1</v>
      </c>
      <c r="E45">
        <v>1</v>
      </c>
    </row>
    <row r="46" spans="1:5" ht="12.75">
      <c r="A46" t="s">
        <v>428</v>
      </c>
      <c r="B46">
        <v>417</v>
      </c>
      <c r="C46">
        <v>130</v>
      </c>
      <c r="D46">
        <v>2</v>
      </c>
      <c r="E46">
        <v>2</v>
      </c>
    </row>
    <row r="47" spans="1:3" ht="12.75">
      <c r="A47" t="s">
        <v>430</v>
      </c>
      <c r="B47">
        <v>1100</v>
      </c>
      <c r="C47">
        <v>852</v>
      </c>
    </row>
    <row r="48" spans="1:3" ht="12.75">
      <c r="A48" t="s">
        <v>432</v>
      </c>
      <c r="B48">
        <v>241</v>
      </c>
      <c r="C48">
        <v>122</v>
      </c>
    </row>
    <row r="49" spans="1:5" ht="12.75">
      <c r="A49" t="s">
        <v>438</v>
      </c>
      <c r="B49">
        <v>1247</v>
      </c>
      <c r="C49">
        <v>604</v>
      </c>
      <c r="D49">
        <v>1</v>
      </c>
      <c r="E49">
        <v>1</v>
      </c>
    </row>
    <row r="50" spans="1:3" ht="12.75">
      <c r="A50" t="s">
        <v>434</v>
      </c>
      <c r="B50">
        <v>88</v>
      </c>
      <c r="C50">
        <v>24</v>
      </c>
    </row>
    <row r="51" spans="1:3" ht="12.75">
      <c r="A51" t="s">
        <v>442</v>
      </c>
      <c r="B51">
        <v>203</v>
      </c>
      <c r="C51">
        <v>112</v>
      </c>
    </row>
    <row r="52" spans="1:5" ht="12.75">
      <c r="A52" t="s">
        <v>444</v>
      </c>
      <c r="B52">
        <v>180</v>
      </c>
      <c r="C52">
        <v>118</v>
      </c>
      <c r="D52">
        <v>1</v>
      </c>
      <c r="E52">
        <v>1</v>
      </c>
    </row>
    <row r="53" spans="1:4" ht="12.75">
      <c r="A53" t="s">
        <v>451</v>
      </c>
      <c r="B53">
        <v>1782</v>
      </c>
      <c r="C53">
        <v>1401</v>
      </c>
      <c r="D53">
        <v>1</v>
      </c>
    </row>
    <row r="54" spans="1:5" ht="12.75">
      <c r="A54" t="s">
        <v>454</v>
      </c>
      <c r="B54">
        <v>227</v>
      </c>
      <c r="C54">
        <v>129</v>
      </c>
      <c r="D54">
        <v>59</v>
      </c>
      <c r="E54">
        <v>40</v>
      </c>
    </row>
    <row r="55" spans="1:5" ht="12.75">
      <c r="A55" t="s">
        <v>461</v>
      </c>
      <c r="B55">
        <v>1509</v>
      </c>
      <c r="C55">
        <v>783</v>
      </c>
      <c r="D55">
        <v>4</v>
      </c>
      <c r="E55">
        <v>4</v>
      </c>
    </row>
    <row r="56" spans="1:5" ht="12.75">
      <c r="A56" t="s">
        <v>463</v>
      </c>
      <c r="B56">
        <v>786</v>
      </c>
      <c r="C56">
        <v>556</v>
      </c>
      <c r="D56">
        <v>1</v>
      </c>
      <c r="E56">
        <v>1</v>
      </c>
    </row>
    <row r="57" spans="1:5" ht="12.75">
      <c r="A57" t="s">
        <v>465</v>
      </c>
      <c r="B57">
        <v>1683</v>
      </c>
      <c r="C57">
        <v>1066</v>
      </c>
      <c r="D57">
        <v>2</v>
      </c>
      <c r="E57">
        <v>2</v>
      </c>
    </row>
    <row r="58" spans="1:5" ht="12.75">
      <c r="A58" t="s">
        <v>467</v>
      </c>
      <c r="B58">
        <v>264</v>
      </c>
      <c r="C58">
        <v>102</v>
      </c>
      <c r="D58">
        <v>1</v>
      </c>
      <c r="E58">
        <v>1</v>
      </c>
    </row>
    <row r="59" spans="1:3" ht="12.75">
      <c r="A59" t="s">
        <v>469</v>
      </c>
      <c r="B59">
        <v>719</v>
      </c>
      <c r="C59">
        <v>550</v>
      </c>
    </row>
    <row r="60" spans="1:5" ht="12.75">
      <c r="A60" t="s">
        <v>470</v>
      </c>
      <c r="B60">
        <v>1975</v>
      </c>
      <c r="C60">
        <v>1551</v>
      </c>
      <c r="D60">
        <v>1</v>
      </c>
      <c r="E60">
        <v>1</v>
      </c>
    </row>
    <row r="61" spans="1:5" ht="12.75">
      <c r="A61" t="s">
        <v>472</v>
      </c>
      <c r="B61">
        <v>3477</v>
      </c>
      <c r="C61">
        <v>2400</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67" t="s">
        <v>570</v>
      </c>
      <c r="B1" s="467"/>
      <c r="C1" s="335" t="s">
        <v>571</v>
      </c>
      <c r="D1" s="335"/>
    </row>
    <row r="2" spans="1:3" ht="12.75">
      <c r="A2" t="s">
        <v>175</v>
      </c>
      <c r="B2" s="330">
        <f>SUM(B3:B4)</f>
        <v>0</v>
      </c>
      <c r="C2" s="330">
        <f>SUM(C3:C4)</f>
        <v>0</v>
      </c>
    </row>
    <row r="3" spans="1:3" ht="12.75">
      <c r="A3" t="s">
        <v>480</v>
      </c>
      <c r="B3" s="337">
        <f>IF(ISNA(VLOOKUP(A3,Program_Review_Data!A2:E67,2,FALSE)),"0",(VLOOKUP(A3,Program_Review_Data!A2:E67,2,FALSE)))</f>
        <v>0</v>
      </c>
      <c r="C3" s="337">
        <f>IF(ISNA(VLOOKUP(A3,Program_Review_Data!A2:E65,3,FALSE)),"0",(VLOOKUP(A3,Program_Review_Data!A2:E65,3,FALSE)))</f>
        <v>0</v>
      </c>
    </row>
    <row r="4" spans="1:3" ht="12.75">
      <c r="A4" t="s">
        <v>429</v>
      </c>
      <c r="B4" s="337">
        <f>IF(ISNA(VLOOKUP(A4,Program_Review_Data!A3:E68,2,FALSE)),"0",(VLOOKUP(A4,Program_Review_Data!A3:E68,2,FALSE)))</f>
        <v>0</v>
      </c>
      <c r="C4" s="337">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7" t="s">
        <v>569</v>
      </c>
      <c r="B1" s="467"/>
      <c r="C1" s="467"/>
      <c r="D1" s="467"/>
      <c r="E1" s="467"/>
    </row>
    <row r="2" spans="1:5" ht="12.75">
      <c r="A2" s="292" t="s">
        <v>426</v>
      </c>
      <c r="B2" s="292" t="s">
        <v>564</v>
      </c>
      <c r="C2" s="292" t="s">
        <v>493</v>
      </c>
      <c r="D2" s="292" t="s">
        <v>565</v>
      </c>
      <c r="E2" s="292" t="s">
        <v>544</v>
      </c>
    </row>
    <row r="3" ht="12.75">
      <c r="A3" t="s">
        <v>69</v>
      </c>
    </row>
    <row r="4" spans="1:5" ht="12.75">
      <c r="A4" t="s">
        <v>431</v>
      </c>
      <c r="B4">
        <v>2341</v>
      </c>
      <c r="C4">
        <v>1764</v>
      </c>
      <c r="D4">
        <v>5</v>
      </c>
      <c r="E4">
        <v>5</v>
      </c>
    </row>
    <row r="5" spans="1:5" ht="12.75">
      <c r="A5" t="s">
        <v>433</v>
      </c>
      <c r="B5">
        <v>796</v>
      </c>
      <c r="C5">
        <v>616</v>
      </c>
      <c r="D5">
        <v>8</v>
      </c>
      <c r="E5">
        <v>8</v>
      </c>
    </row>
    <row r="6" spans="1:5" ht="12.75">
      <c r="A6" t="s">
        <v>334</v>
      </c>
      <c r="B6">
        <v>585</v>
      </c>
      <c r="C6">
        <v>386</v>
      </c>
      <c r="D6">
        <v>9</v>
      </c>
      <c r="E6">
        <v>9</v>
      </c>
    </row>
    <row r="7" spans="1:5" ht="12.75">
      <c r="A7" t="s">
        <v>436</v>
      </c>
      <c r="B7">
        <v>2201</v>
      </c>
      <c r="C7">
        <v>1448</v>
      </c>
      <c r="D7">
        <v>13</v>
      </c>
      <c r="E7">
        <v>13</v>
      </c>
    </row>
    <row r="8" spans="1:5" ht="12.75">
      <c r="A8" t="s">
        <v>440</v>
      </c>
      <c r="B8">
        <v>2465</v>
      </c>
      <c r="C8">
        <v>1798</v>
      </c>
      <c r="D8">
        <v>4</v>
      </c>
      <c r="E8">
        <v>3</v>
      </c>
    </row>
    <row r="9" spans="1:3" ht="12.75">
      <c r="A9" t="s">
        <v>443</v>
      </c>
      <c r="B9">
        <v>139</v>
      </c>
      <c r="C9">
        <v>78</v>
      </c>
    </row>
    <row r="10" spans="1:5" ht="12.75">
      <c r="A10" t="s">
        <v>447</v>
      </c>
      <c r="B10">
        <v>1803</v>
      </c>
      <c r="C10">
        <v>1467</v>
      </c>
      <c r="D10">
        <v>9</v>
      </c>
      <c r="E10">
        <v>8</v>
      </c>
    </row>
    <row r="11" spans="1:5" ht="12.75">
      <c r="A11" t="s">
        <v>453</v>
      </c>
      <c r="B11">
        <v>176</v>
      </c>
      <c r="C11">
        <v>109</v>
      </c>
      <c r="D11">
        <v>1</v>
      </c>
      <c r="E11">
        <v>1</v>
      </c>
    </row>
    <row r="12" spans="1:5" ht="12.75">
      <c r="A12" t="s">
        <v>459</v>
      </c>
      <c r="B12">
        <v>701</v>
      </c>
      <c r="C12">
        <v>563</v>
      </c>
      <c r="D12">
        <v>13</v>
      </c>
      <c r="E12">
        <v>12</v>
      </c>
    </row>
    <row r="13" spans="1:5" ht="12.75">
      <c r="A13" t="s">
        <v>460</v>
      </c>
      <c r="B13">
        <v>566</v>
      </c>
      <c r="C13">
        <v>293</v>
      </c>
      <c r="D13">
        <v>5</v>
      </c>
      <c r="E13">
        <v>5</v>
      </c>
    </row>
    <row r="14" spans="1:5" ht="12.75">
      <c r="A14" t="s">
        <v>462</v>
      </c>
      <c r="B14">
        <v>3773</v>
      </c>
      <c r="C14">
        <v>2796</v>
      </c>
      <c r="D14">
        <v>7305</v>
      </c>
      <c r="E14">
        <v>3524</v>
      </c>
    </row>
    <row r="15" spans="1:5" ht="12.75">
      <c r="A15" t="s">
        <v>464</v>
      </c>
      <c r="B15">
        <v>1052</v>
      </c>
      <c r="C15">
        <v>735</v>
      </c>
      <c r="D15">
        <v>12</v>
      </c>
      <c r="E15">
        <v>12</v>
      </c>
    </row>
    <row r="16" spans="1:3" ht="12.75">
      <c r="A16" t="s">
        <v>466</v>
      </c>
      <c r="B16">
        <v>207</v>
      </c>
      <c r="C16">
        <v>141</v>
      </c>
    </row>
    <row r="17" spans="1:5" ht="12.75">
      <c r="A17" t="s">
        <v>477</v>
      </c>
      <c r="B17">
        <v>165</v>
      </c>
      <c r="C17">
        <v>105</v>
      </c>
      <c r="D17">
        <v>3</v>
      </c>
      <c r="E17">
        <v>3</v>
      </c>
    </row>
    <row r="18" spans="1:3" ht="12.75">
      <c r="A18" t="s">
        <v>481</v>
      </c>
      <c r="B18">
        <v>144</v>
      </c>
      <c r="C18">
        <v>104</v>
      </c>
    </row>
    <row r="19" spans="1:5" ht="12.75">
      <c r="A19" t="s">
        <v>483</v>
      </c>
      <c r="B19">
        <v>231</v>
      </c>
      <c r="C19">
        <v>158</v>
      </c>
      <c r="D19">
        <v>1</v>
      </c>
      <c r="E19">
        <v>1</v>
      </c>
    </row>
    <row r="20" spans="1:5" ht="12.75">
      <c r="A20" t="s">
        <v>335</v>
      </c>
      <c r="B20">
        <v>6686</v>
      </c>
      <c r="C20">
        <v>3440</v>
      </c>
      <c r="D20">
        <v>27</v>
      </c>
      <c r="E20">
        <v>9</v>
      </c>
    </row>
    <row r="21" spans="1:5" ht="12.75">
      <c r="A21" t="s">
        <v>437</v>
      </c>
      <c r="B21">
        <v>941</v>
      </c>
      <c r="C21">
        <v>733</v>
      </c>
      <c r="D21">
        <v>48</v>
      </c>
      <c r="E21">
        <v>34</v>
      </c>
    </row>
    <row r="22" spans="1:5" ht="12.75">
      <c r="A22" t="s">
        <v>446</v>
      </c>
      <c r="B22">
        <v>936</v>
      </c>
      <c r="C22">
        <v>351</v>
      </c>
      <c r="D22">
        <v>3</v>
      </c>
      <c r="E22">
        <v>2</v>
      </c>
    </row>
    <row r="23" spans="1:5" ht="12.75">
      <c r="A23" t="s">
        <v>448</v>
      </c>
      <c r="B23">
        <v>914</v>
      </c>
      <c r="C23">
        <v>664</v>
      </c>
      <c r="D23">
        <v>28</v>
      </c>
      <c r="E23">
        <v>13</v>
      </c>
    </row>
    <row r="24" spans="1:5" ht="12.75">
      <c r="A24" t="s">
        <v>452</v>
      </c>
      <c r="B24">
        <v>1452</v>
      </c>
      <c r="C24">
        <v>971</v>
      </c>
      <c r="D24">
        <v>7</v>
      </c>
      <c r="E24">
        <v>6</v>
      </c>
    </row>
    <row r="25" spans="1:5" ht="12.75">
      <c r="A25" t="s">
        <v>456</v>
      </c>
      <c r="B25">
        <v>1254</v>
      </c>
      <c r="C25">
        <v>895</v>
      </c>
      <c r="D25">
        <v>7</v>
      </c>
      <c r="E25">
        <v>6</v>
      </c>
    </row>
    <row r="26" spans="1:5" ht="12.75">
      <c r="A26" t="s">
        <v>457</v>
      </c>
      <c r="B26">
        <v>1519</v>
      </c>
      <c r="C26">
        <v>686</v>
      </c>
      <c r="D26">
        <v>6</v>
      </c>
      <c r="E26">
        <v>6</v>
      </c>
    </row>
    <row r="27" spans="1:5" ht="12.75">
      <c r="A27" t="s">
        <v>468</v>
      </c>
      <c r="B27">
        <v>2456</v>
      </c>
      <c r="C27">
        <v>1914</v>
      </c>
      <c r="D27">
        <v>2</v>
      </c>
      <c r="E27">
        <v>2</v>
      </c>
    </row>
    <row r="28" spans="1:5" ht="12.75">
      <c r="A28" t="s">
        <v>471</v>
      </c>
      <c r="B28">
        <v>1246</v>
      </c>
      <c r="C28">
        <v>1050</v>
      </c>
      <c r="D28">
        <v>2</v>
      </c>
      <c r="E28">
        <v>2</v>
      </c>
    </row>
    <row r="29" spans="1:5" ht="12.75">
      <c r="A29" t="s">
        <v>476</v>
      </c>
      <c r="B29">
        <v>2621</v>
      </c>
      <c r="C29">
        <v>1564</v>
      </c>
      <c r="D29">
        <v>6</v>
      </c>
      <c r="E29">
        <v>5</v>
      </c>
    </row>
    <row r="30" spans="1:3" ht="12.75">
      <c r="A30" t="s">
        <v>479</v>
      </c>
      <c r="B30">
        <v>924</v>
      </c>
      <c r="C30">
        <v>920</v>
      </c>
    </row>
    <row r="31" spans="1:5" ht="12.75">
      <c r="A31" t="s">
        <v>484</v>
      </c>
      <c r="B31">
        <v>3620</v>
      </c>
      <c r="C31">
        <v>1513</v>
      </c>
      <c r="D31">
        <v>80</v>
      </c>
      <c r="E31">
        <v>58</v>
      </c>
    </row>
    <row r="32" spans="1:5" ht="12.75">
      <c r="A32" t="s">
        <v>435</v>
      </c>
      <c r="B32">
        <v>2863</v>
      </c>
      <c r="C32">
        <v>2436</v>
      </c>
      <c r="D32">
        <v>4</v>
      </c>
      <c r="E32">
        <v>4</v>
      </c>
    </row>
    <row r="33" spans="1:4" ht="12.75">
      <c r="A33" t="s">
        <v>439</v>
      </c>
      <c r="B33">
        <v>233</v>
      </c>
      <c r="C33">
        <v>164</v>
      </c>
      <c r="D33">
        <v>1</v>
      </c>
    </row>
    <row r="34" spans="1:3" ht="12.75">
      <c r="A34" t="s">
        <v>441</v>
      </c>
      <c r="B34">
        <v>46</v>
      </c>
      <c r="C34">
        <v>30</v>
      </c>
    </row>
    <row r="35" spans="1:5" ht="12.75">
      <c r="A35" t="s">
        <v>445</v>
      </c>
      <c r="B35">
        <v>6419</v>
      </c>
      <c r="C35">
        <v>5019</v>
      </c>
      <c r="D35">
        <v>25</v>
      </c>
      <c r="E35">
        <v>21</v>
      </c>
    </row>
    <row r="36" spans="1:5" ht="12.75">
      <c r="A36" t="s">
        <v>449</v>
      </c>
      <c r="B36">
        <v>529</v>
      </c>
      <c r="C36">
        <v>192</v>
      </c>
      <c r="D36">
        <v>1</v>
      </c>
      <c r="E36">
        <v>1</v>
      </c>
    </row>
    <row r="37" spans="1:5" ht="12.75">
      <c r="A37" t="s">
        <v>450</v>
      </c>
      <c r="B37">
        <v>1415</v>
      </c>
      <c r="C37">
        <v>1109</v>
      </c>
      <c r="D37">
        <v>1</v>
      </c>
      <c r="E37">
        <v>1</v>
      </c>
    </row>
    <row r="38" spans="1:5" ht="12.75">
      <c r="A38" t="s">
        <v>455</v>
      </c>
      <c r="B38">
        <v>511</v>
      </c>
      <c r="C38">
        <v>171</v>
      </c>
      <c r="D38">
        <v>557</v>
      </c>
      <c r="E38">
        <v>298</v>
      </c>
    </row>
    <row r="39" spans="1:5" ht="12.75">
      <c r="A39" t="s">
        <v>337</v>
      </c>
      <c r="B39">
        <v>1004</v>
      </c>
      <c r="C39">
        <v>411</v>
      </c>
      <c r="D39">
        <v>3</v>
      </c>
      <c r="E39">
        <v>3</v>
      </c>
    </row>
    <row r="40" spans="1:5" ht="12.75">
      <c r="A40" t="s">
        <v>458</v>
      </c>
      <c r="B40">
        <v>1893</v>
      </c>
      <c r="C40">
        <v>1417</v>
      </c>
      <c r="D40">
        <v>5</v>
      </c>
      <c r="E40">
        <v>5</v>
      </c>
    </row>
    <row r="41" spans="1:3" ht="12.75">
      <c r="A41" t="s">
        <v>473</v>
      </c>
      <c r="B41">
        <v>181</v>
      </c>
      <c r="C41">
        <v>91</v>
      </c>
    </row>
    <row r="42" spans="1:5" ht="12.75">
      <c r="A42" t="s">
        <v>474</v>
      </c>
      <c r="B42">
        <v>1717</v>
      </c>
      <c r="C42">
        <v>1061</v>
      </c>
      <c r="D42">
        <v>7</v>
      </c>
      <c r="E42">
        <v>6</v>
      </c>
    </row>
    <row r="43" spans="1:5" ht="12.75">
      <c r="A43" t="s">
        <v>475</v>
      </c>
      <c r="B43">
        <v>573</v>
      </c>
      <c r="C43">
        <v>302</v>
      </c>
      <c r="D43">
        <v>5268</v>
      </c>
      <c r="E43">
        <v>3548</v>
      </c>
    </row>
    <row r="44" spans="1:5" ht="12.75">
      <c r="A44" t="s">
        <v>478</v>
      </c>
      <c r="B44">
        <v>3394</v>
      </c>
      <c r="C44">
        <v>2255</v>
      </c>
      <c r="D44">
        <v>4</v>
      </c>
      <c r="E44">
        <v>2</v>
      </c>
    </row>
    <row r="45" spans="1:5" ht="12.75">
      <c r="A45" t="s">
        <v>482</v>
      </c>
      <c r="B45">
        <v>591</v>
      </c>
      <c r="C45">
        <v>430</v>
      </c>
      <c r="D45">
        <v>1</v>
      </c>
      <c r="E45">
        <v>1</v>
      </c>
    </row>
    <row r="46" spans="1:5" ht="12.75">
      <c r="A46" t="s">
        <v>428</v>
      </c>
      <c r="B46">
        <v>598</v>
      </c>
      <c r="C46">
        <v>425</v>
      </c>
      <c r="D46">
        <v>2</v>
      </c>
      <c r="E46">
        <v>2</v>
      </c>
    </row>
    <row r="47" spans="1:3" ht="12.75">
      <c r="A47" t="s">
        <v>430</v>
      </c>
      <c r="B47">
        <v>310</v>
      </c>
      <c r="C47">
        <v>226</v>
      </c>
    </row>
    <row r="48" spans="1:3" ht="12.75">
      <c r="A48" t="s">
        <v>432</v>
      </c>
      <c r="B48">
        <v>451</v>
      </c>
      <c r="C48">
        <v>238</v>
      </c>
    </row>
    <row r="49" spans="1:5" ht="12.75">
      <c r="A49" t="s">
        <v>438</v>
      </c>
      <c r="B49">
        <v>1748</v>
      </c>
      <c r="C49">
        <v>991</v>
      </c>
      <c r="D49">
        <v>3</v>
      </c>
      <c r="E49">
        <v>3</v>
      </c>
    </row>
    <row r="50" spans="1:3" ht="12.75">
      <c r="A50" t="s">
        <v>434</v>
      </c>
      <c r="B50">
        <v>171</v>
      </c>
      <c r="C50">
        <v>91</v>
      </c>
    </row>
    <row r="51" spans="1:3" ht="12.75">
      <c r="A51" t="s">
        <v>442</v>
      </c>
      <c r="B51">
        <v>343</v>
      </c>
      <c r="C51">
        <v>205</v>
      </c>
    </row>
    <row r="52" spans="1:3" ht="12.75">
      <c r="A52" t="s">
        <v>444</v>
      </c>
      <c r="B52">
        <v>858</v>
      </c>
      <c r="C52">
        <v>740</v>
      </c>
    </row>
    <row r="53" spans="1:5" ht="12.75">
      <c r="A53" t="s">
        <v>451</v>
      </c>
      <c r="B53">
        <v>1175</v>
      </c>
      <c r="C53">
        <v>914</v>
      </c>
      <c r="D53">
        <v>3</v>
      </c>
      <c r="E53">
        <v>3</v>
      </c>
    </row>
    <row r="54" spans="1:3" ht="12.75">
      <c r="A54" t="s">
        <v>454</v>
      </c>
      <c r="B54">
        <v>755</v>
      </c>
      <c r="C54">
        <v>557</v>
      </c>
    </row>
    <row r="55" spans="1:5" ht="12.75">
      <c r="A55" t="s">
        <v>461</v>
      </c>
      <c r="B55">
        <v>5315</v>
      </c>
      <c r="C55">
        <v>3922</v>
      </c>
      <c r="D55">
        <v>1</v>
      </c>
      <c r="E55">
        <v>1</v>
      </c>
    </row>
    <row r="56" spans="1:3" ht="12.75">
      <c r="A56" t="s">
        <v>463</v>
      </c>
      <c r="B56">
        <v>2013</v>
      </c>
      <c r="C56">
        <v>1124</v>
      </c>
    </row>
    <row r="57" spans="1:5" ht="12.75">
      <c r="A57" t="s">
        <v>465</v>
      </c>
      <c r="B57">
        <v>632</v>
      </c>
      <c r="C57">
        <v>421</v>
      </c>
      <c r="D57">
        <v>2</v>
      </c>
      <c r="E57">
        <v>2</v>
      </c>
    </row>
    <row r="58" spans="1:5" ht="12.75">
      <c r="A58" t="s">
        <v>467</v>
      </c>
      <c r="B58">
        <v>693</v>
      </c>
      <c r="C58">
        <v>531</v>
      </c>
      <c r="D58">
        <v>1</v>
      </c>
      <c r="E58">
        <v>1</v>
      </c>
    </row>
    <row r="59" spans="1:5" ht="12.75">
      <c r="A59" t="s">
        <v>469</v>
      </c>
      <c r="B59">
        <v>2419</v>
      </c>
      <c r="C59">
        <v>2032</v>
      </c>
      <c r="D59">
        <v>2</v>
      </c>
      <c r="E59">
        <v>2</v>
      </c>
    </row>
    <row r="60" spans="1:5" ht="12.75">
      <c r="A60" t="s">
        <v>470</v>
      </c>
      <c r="B60">
        <v>3046</v>
      </c>
      <c r="C60">
        <v>1817</v>
      </c>
      <c r="D60">
        <v>32</v>
      </c>
      <c r="E60">
        <v>25</v>
      </c>
    </row>
    <row r="61" spans="1:5" ht="12.75">
      <c r="A61" t="s">
        <v>472</v>
      </c>
      <c r="B61">
        <v>2492</v>
      </c>
      <c r="C61">
        <v>1640</v>
      </c>
      <c r="D61">
        <v>2</v>
      </c>
      <c r="E61">
        <v>1</v>
      </c>
    </row>
    <row r="62" spans="1:3" ht="12.75">
      <c r="A62" t="s">
        <v>480</v>
      </c>
      <c r="B62">
        <v>85</v>
      </c>
      <c r="C62">
        <v>81</v>
      </c>
    </row>
    <row r="63" ht="12.75">
      <c r="A63" t="s">
        <v>539</v>
      </c>
    </row>
    <row r="64" spans="1:3" ht="12.75">
      <c r="A64" t="s">
        <v>429</v>
      </c>
      <c r="B64">
        <v>27</v>
      </c>
      <c r="C64">
        <v>7</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67" t="s">
        <v>567</v>
      </c>
      <c r="B1" s="467"/>
      <c r="C1" s="335" t="s">
        <v>566</v>
      </c>
    </row>
    <row r="2" spans="1:3" ht="12.75">
      <c r="A2" t="s">
        <v>175</v>
      </c>
      <c r="B2" s="330">
        <f>SUM(B3:B4)</f>
        <v>112</v>
      </c>
      <c r="C2" s="330">
        <f>SUM(C3:C4)</f>
        <v>88</v>
      </c>
    </row>
    <row r="3" spans="1:3" ht="12.75">
      <c r="A3" t="s">
        <v>480</v>
      </c>
      <c r="B3" s="337">
        <f>IF(ISNA(VLOOKUP(A3,Other_Data!A2:E65,2,FALSE)),"0",(VLOOKUP(A3,Other_Data!A2:E65,2,FALSE)))</f>
        <v>85</v>
      </c>
      <c r="C3" s="337">
        <f>IF(ISNA(VLOOKUP(A3,Other_Data!A2:E65,3,FALSE)),"0",(VLOOKUP(A3,Other_Data!A2:E65,3,FALSE)))</f>
        <v>81</v>
      </c>
    </row>
    <row r="4" spans="1:3" ht="12.75">
      <c r="A4" t="s">
        <v>429</v>
      </c>
      <c r="B4" s="337">
        <f>IF(ISNA(VLOOKUP(A4,Other_Data!A3:E66,2,FALSE)),"0",(VLOOKUP(A4,Other_Data!A3:E66,2,FALSE)))</f>
        <v>27</v>
      </c>
      <c r="C4" s="337">
        <f>IF(ISNA(VLOOKUP(A4,Other_Data!A2:E65,3,FALSE)),"0",(VLOOKUP(A4,Other_Data!A2:E65,3,FALSE)))</f>
        <v>7</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67" t="s">
        <v>572</v>
      </c>
      <c r="B1" s="467"/>
      <c r="C1" s="467"/>
      <c r="D1" s="467"/>
      <c r="E1" s="467"/>
    </row>
    <row r="2" spans="1:3" ht="12.75">
      <c r="A2" s="292" t="s">
        <v>426</v>
      </c>
      <c r="B2" s="292" t="s">
        <v>573</v>
      </c>
      <c r="C2" s="292" t="s">
        <v>574</v>
      </c>
    </row>
    <row r="3" ht="12.75">
      <c r="A3" t="s">
        <v>69</v>
      </c>
    </row>
    <row r="4" spans="1:3" ht="12.75">
      <c r="A4" t="s">
        <v>431</v>
      </c>
      <c r="B4">
        <v>1</v>
      </c>
      <c r="C4">
        <v>3</v>
      </c>
    </row>
    <row r="5" ht="12.75">
      <c r="A5" t="s">
        <v>433</v>
      </c>
    </row>
    <row r="6" ht="12.75">
      <c r="A6" t="s">
        <v>334</v>
      </c>
    </row>
    <row r="7" spans="1:3" ht="12.75">
      <c r="A7" t="s">
        <v>436</v>
      </c>
      <c r="B7">
        <v>12</v>
      </c>
      <c r="C7">
        <v>5</v>
      </c>
    </row>
    <row r="8" spans="1:3" ht="12.75">
      <c r="A8" t="s">
        <v>440</v>
      </c>
      <c r="B8">
        <v>5</v>
      </c>
      <c r="C8">
        <v>3</v>
      </c>
    </row>
    <row r="9" spans="1:2" ht="12.75">
      <c r="A9" t="s">
        <v>443</v>
      </c>
      <c r="B9">
        <v>1</v>
      </c>
    </row>
    <row r="10" spans="1:3" ht="12.75">
      <c r="A10" t="s">
        <v>447</v>
      </c>
      <c r="B10">
        <v>7</v>
      </c>
      <c r="C10">
        <v>1</v>
      </c>
    </row>
    <row r="11" spans="1:2" ht="12.75">
      <c r="A11" t="s">
        <v>453</v>
      </c>
      <c r="B11">
        <v>1</v>
      </c>
    </row>
    <row r="12" spans="1:2" ht="12.75">
      <c r="A12" t="s">
        <v>459</v>
      </c>
      <c r="B12">
        <v>1</v>
      </c>
    </row>
    <row r="13" spans="1:3" ht="12.75">
      <c r="A13" t="s">
        <v>460</v>
      </c>
      <c r="C13">
        <v>1</v>
      </c>
    </row>
    <row r="14" spans="1:3" ht="12.75">
      <c r="A14" t="s">
        <v>462</v>
      </c>
      <c r="B14">
        <v>18026</v>
      </c>
      <c r="C14">
        <v>9024</v>
      </c>
    </row>
    <row r="15" spans="1:2" ht="12.75">
      <c r="A15" t="s">
        <v>464</v>
      </c>
      <c r="B15">
        <v>1</v>
      </c>
    </row>
    <row r="16" ht="12.75">
      <c r="A16" t="s">
        <v>466</v>
      </c>
    </row>
    <row r="17" ht="12.75">
      <c r="A17" t="s">
        <v>477</v>
      </c>
    </row>
    <row r="18" ht="12.75">
      <c r="A18" t="s">
        <v>481</v>
      </c>
    </row>
    <row r="19" ht="12.75">
      <c r="A19" t="s">
        <v>483</v>
      </c>
    </row>
    <row r="20" spans="1:2" ht="12.75">
      <c r="A20" t="s">
        <v>335</v>
      </c>
      <c r="B20">
        <v>1</v>
      </c>
    </row>
    <row r="21" spans="1:3" ht="12.75">
      <c r="A21" t="s">
        <v>437</v>
      </c>
      <c r="B21">
        <v>3</v>
      </c>
      <c r="C21">
        <v>1</v>
      </c>
    </row>
    <row r="22" spans="1:2" ht="12.75">
      <c r="A22" t="s">
        <v>446</v>
      </c>
      <c r="B22">
        <v>1</v>
      </c>
    </row>
    <row r="23" spans="1:3" ht="12.75">
      <c r="A23" t="s">
        <v>448</v>
      </c>
      <c r="B23">
        <v>44</v>
      </c>
      <c r="C23">
        <v>1</v>
      </c>
    </row>
    <row r="24" spans="1:3" ht="12.75">
      <c r="A24" t="s">
        <v>452</v>
      </c>
      <c r="B24">
        <v>26</v>
      </c>
      <c r="C24">
        <v>20</v>
      </c>
    </row>
    <row r="25" spans="1:3" ht="12.75">
      <c r="A25" t="s">
        <v>456</v>
      </c>
      <c r="B25">
        <v>3</v>
      </c>
      <c r="C25">
        <v>4</v>
      </c>
    </row>
    <row r="26" spans="1:2" ht="12.75">
      <c r="A26" t="s">
        <v>457</v>
      </c>
      <c r="B26">
        <v>6</v>
      </c>
    </row>
    <row r="27" spans="1:3" ht="12.75">
      <c r="A27" t="s">
        <v>468</v>
      </c>
      <c r="B27">
        <v>1</v>
      </c>
      <c r="C27">
        <v>1</v>
      </c>
    </row>
    <row r="28" ht="12.75">
      <c r="A28" t="s">
        <v>471</v>
      </c>
    </row>
    <row r="29" spans="1:3" ht="12.75">
      <c r="A29" t="s">
        <v>476</v>
      </c>
      <c r="B29">
        <v>12</v>
      </c>
      <c r="C29">
        <v>5</v>
      </c>
    </row>
    <row r="30" ht="12.75">
      <c r="A30" t="s">
        <v>479</v>
      </c>
    </row>
    <row r="31" spans="1:3" ht="12.75">
      <c r="A31" t="s">
        <v>484</v>
      </c>
      <c r="B31">
        <v>2</v>
      </c>
      <c r="C31">
        <v>7</v>
      </c>
    </row>
    <row r="32" spans="1:3" ht="12.75">
      <c r="A32" t="s">
        <v>435</v>
      </c>
      <c r="B32">
        <v>8</v>
      </c>
      <c r="C32">
        <v>3</v>
      </c>
    </row>
    <row r="33" ht="12.75">
      <c r="A33" t="s">
        <v>439</v>
      </c>
    </row>
    <row r="34" ht="12.75">
      <c r="A34" t="s">
        <v>441</v>
      </c>
    </row>
    <row r="35" spans="1:3" ht="12.75">
      <c r="A35" t="s">
        <v>445</v>
      </c>
      <c r="B35">
        <v>5</v>
      </c>
      <c r="C35">
        <v>3</v>
      </c>
    </row>
    <row r="36" ht="12.75">
      <c r="A36" t="s">
        <v>449</v>
      </c>
    </row>
    <row r="37" spans="1:3" ht="12.75">
      <c r="A37" t="s">
        <v>450</v>
      </c>
      <c r="B37">
        <v>6</v>
      </c>
      <c r="C37">
        <v>1</v>
      </c>
    </row>
    <row r="38" spans="1:3" ht="12.75">
      <c r="A38" t="s">
        <v>455</v>
      </c>
      <c r="B38">
        <v>11242</v>
      </c>
      <c r="C38">
        <v>2347</v>
      </c>
    </row>
    <row r="39" spans="1:3" ht="12.75">
      <c r="A39" t="s">
        <v>337</v>
      </c>
      <c r="B39">
        <v>4</v>
      </c>
      <c r="C39">
        <v>2</v>
      </c>
    </row>
    <row r="40" spans="1:3" ht="12.75">
      <c r="A40" t="s">
        <v>458</v>
      </c>
      <c r="B40">
        <v>15</v>
      </c>
      <c r="C40">
        <v>5</v>
      </c>
    </row>
    <row r="41" ht="12.75">
      <c r="A41" t="s">
        <v>473</v>
      </c>
    </row>
    <row r="42" spans="1:3" ht="12.75">
      <c r="A42" t="s">
        <v>474</v>
      </c>
      <c r="B42">
        <v>14</v>
      </c>
      <c r="C42">
        <v>5</v>
      </c>
    </row>
    <row r="43" spans="1:3" ht="12.75">
      <c r="A43" t="s">
        <v>475</v>
      </c>
      <c r="B43">
        <v>14261</v>
      </c>
      <c r="C43">
        <v>8400</v>
      </c>
    </row>
    <row r="44" spans="1:3" ht="12.75">
      <c r="A44" t="s">
        <v>478</v>
      </c>
      <c r="B44">
        <v>6</v>
      </c>
      <c r="C44">
        <v>3</v>
      </c>
    </row>
    <row r="45" ht="12.75">
      <c r="A45" t="s">
        <v>482</v>
      </c>
    </row>
    <row r="46" spans="1:3" ht="12.75">
      <c r="A46" t="s">
        <v>428</v>
      </c>
      <c r="B46">
        <v>2</v>
      </c>
      <c r="C46">
        <v>1</v>
      </c>
    </row>
    <row r="47" ht="12.75">
      <c r="A47" t="s">
        <v>430</v>
      </c>
    </row>
    <row r="48" ht="12.75">
      <c r="A48" t="s">
        <v>432</v>
      </c>
    </row>
    <row r="49" spans="1:3" ht="12.75">
      <c r="A49" t="s">
        <v>438</v>
      </c>
      <c r="B49">
        <v>6</v>
      </c>
      <c r="C49">
        <v>1</v>
      </c>
    </row>
    <row r="50" spans="1:3" ht="12.75">
      <c r="A50" t="s">
        <v>434</v>
      </c>
      <c r="B50">
        <v>2</v>
      </c>
      <c r="C50">
        <v>1</v>
      </c>
    </row>
    <row r="51" spans="1:2" ht="12.75">
      <c r="A51" t="s">
        <v>442</v>
      </c>
      <c r="B51">
        <v>1</v>
      </c>
    </row>
    <row r="52" spans="1:3" ht="12.75">
      <c r="A52" t="s">
        <v>444</v>
      </c>
      <c r="B52">
        <v>4</v>
      </c>
      <c r="C52">
        <v>1</v>
      </c>
    </row>
    <row r="53" spans="1:2" ht="12.75">
      <c r="A53" t="s">
        <v>451</v>
      </c>
      <c r="B53">
        <v>3</v>
      </c>
    </row>
    <row r="54" spans="1:2" ht="12.75">
      <c r="A54" t="s">
        <v>454</v>
      </c>
      <c r="B54">
        <v>329</v>
      </c>
    </row>
    <row r="55" spans="1:3" ht="12.75">
      <c r="A55" t="s">
        <v>461</v>
      </c>
      <c r="B55">
        <v>7</v>
      </c>
      <c r="C55">
        <v>2</v>
      </c>
    </row>
    <row r="56" spans="1:2" ht="12.75">
      <c r="A56" t="s">
        <v>463</v>
      </c>
      <c r="B56">
        <v>1</v>
      </c>
    </row>
    <row r="57" spans="1:2" ht="12.75">
      <c r="A57" t="s">
        <v>465</v>
      </c>
      <c r="B57">
        <v>3</v>
      </c>
    </row>
    <row r="58" spans="1:2" ht="12.75">
      <c r="A58" t="s">
        <v>467</v>
      </c>
      <c r="B58">
        <v>1</v>
      </c>
    </row>
    <row r="59" ht="12.75">
      <c r="A59" t="s">
        <v>469</v>
      </c>
    </row>
    <row r="60" spans="1:3" ht="12.75">
      <c r="A60" t="s">
        <v>470</v>
      </c>
      <c r="C60">
        <v>1</v>
      </c>
    </row>
    <row r="61" spans="1:3" ht="12.75">
      <c r="A61" t="s">
        <v>472</v>
      </c>
      <c r="B61">
        <v>51</v>
      </c>
      <c r="C61">
        <v>2</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67" t="s">
        <v>577</v>
      </c>
      <c r="B1" s="467"/>
    </row>
    <row r="2" spans="1:2" ht="12.75">
      <c r="A2" t="s">
        <v>175</v>
      </c>
      <c r="B2" s="330">
        <f>SUM(B3:B4)</f>
        <v>0</v>
      </c>
    </row>
    <row r="3" spans="1:2" ht="12.75">
      <c r="A3" t="s">
        <v>480</v>
      </c>
      <c r="B3" s="337">
        <f>IF(ISNA(VLOOKUP(A3,Burial_Data!A2:C67,2,FALSE)),"0",(VLOOKUP(A3,Burial_Data!A2:C67,2,FALSE)))</f>
        <v>0</v>
      </c>
    </row>
    <row r="4" spans="1:2" ht="12.75">
      <c r="A4" t="s">
        <v>429</v>
      </c>
      <c r="B4" s="337">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7" t="s">
        <v>575</v>
      </c>
      <c r="B1" s="467"/>
      <c r="C1" s="467"/>
      <c r="D1" s="467"/>
      <c r="E1" s="467"/>
    </row>
    <row r="2" spans="1:4" ht="12.75">
      <c r="A2" s="292" t="s">
        <v>426</v>
      </c>
      <c r="B2" s="292" t="s">
        <v>576</v>
      </c>
      <c r="C2" s="292" t="s">
        <v>427</v>
      </c>
      <c r="D2" s="292" t="s">
        <v>486</v>
      </c>
    </row>
    <row r="3" spans="1:4" ht="12.75">
      <c r="A3" t="s">
        <v>428</v>
      </c>
      <c r="B3">
        <v>340</v>
      </c>
      <c r="C3">
        <v>2</v>
      </c>
      <c r="D3" t="s">
        <v>27</v>
      </c>
    </row>
    <row r="4" spans="1:4" ht="12.75">
      <c r="A4" t="s">
        <v>429</v>
      </c>
      <c r="B4">
        <v>397</v>
      </c>
      <c r="C4">
        <v>4</v>
      </c>
      <c r="D4" t="s">
        <v>27</v>
      </c>
    </row>
    <row r="5" spans="1:4" ht="12.75">
      <c r="A5" t="s">
        <v>335</v>
      </c>
      <c r="B5">
        <v>316</v>
      </c>
      <c r="C5">
        <v>1</v>
      </c>
      <c r="D5" t="s">
        <v>27</v>
      </c>
    </row>
    <row r="6" spans="1:4" ht="12.75">
      <c r="A6" t="s">
        <v>431</v>
      </c>
      <c r="B6">
        <v>313</v>
      </c>
      <c r="C6">
        <v>4</v>
      </c>
      <c r="D6" t="s">
        <v>27</v>
      </c>
    </row>
    <row r="7" spans="1:4" ht="12.75">
      <c r="A7" t="s">
        <v>432</v>
      </c>
      <c r="B7">
        <v>347</v>
      </c>
      <c r="C7">
        <v>1</v>
      </c>
      <c r="D7" t="s">
        <v>27</v>
      </c>
    </row>
    <row r="8" spans="1:4" ht="12.75">
      <c r="A8" t="s">
        <v>433</v>
      </c>
      <c r="B8">
        <v>301</v>
      </c>
      <c r="C8">
        <v>1</v>
      </c>
      <c r="D8" t="s">
        <v>27</v>
      </c>
    </row>
    <row r="9" spans="1:4" ht="12.75">
      <c r="A9" t="s">
        <v>334</v>
      </c>
      <c r="B9">
        <v>307</v>
      </c>
      <c r="C9">
        <v>1</v>
      </c>
      <c r="D9" t="s">
        <v>27</v>
      </c>
    </row>
    <row r="10" spans="1:4" ht="12.75">
      <c r="A10" t="s">
        <v>434</v>
      </c>
      <c r="B10">
        <v>442</v>
      </c>
      <c r="C10">
        <v>3</v>
      </c>
      <c r="D10" t="s">
        <v>27</v>
      </c>
    </row>
    <row r="11" spans="1:4" ht="12.75">
      <c r="A11" t="s">
        <v>435</v>
      </c>
      <c r="B11">
        <v>328</v>
      </c>
      <c r="C11">
        <v>147</v>
      </c>
      <c r="D11" t="s">
        <v>27</v>
      </c>
    </row>
    <row r="12" spans="1:4" ht="12.75">
      <c r="A12" t="s">
        <v>436</v>
      </c>
      <c r="B12">
        <v>325</v>
      </c>
      <c r="C12">
        <v>77</v>
      </c>
      <c r="D12" t="s">
        <v>27</v>
      </c>
    </row>
    <row r="13" spans="1:4" ht="12.75">
      <c r="A13" t="s">
        <v>437</v>
      </c>
      <c r="B13">
        <v>319</v>
      </c>
      <c r="C13">
        <v>11</v>
      </c>
      <c r="D13" t="s">
        <v>27</v>
      </c>
    </row>
    <row r="14" spans="1:4" ht="12.75">
      <c r="A14" t="s">
        <v>438</v>
      </c>
      <c r="B14">
        <v>339</v>
      </c>
      <c r="C14">
        <v>4</v>
      </c>
      <c r="D14" t="s">
        <v>27</v>
      </c>
    </row>
    <row r="15" spans="1:4" ht="12.75">
      <c r="A15" t="s">
        <v>440</v>
      </c>
      <c r="B15">
        <v>329</v>
      </c>
      <c r="C15">
        <v>27</v>
      </c>
      <c r="D15" t="s">
        <v>27</v>
      </c>
    </row>
    <row r="16" spans="1:4" ht="12.75">
      <c r="A16" t="s">
        <v>442</v>
      </c>
      <c r="B16">
        <v>436</v>
      </c>
      <c r="C16">
        <v>1</v>
      </c>
      <c r="D16" t="s">
        <v>27</v>
      </c>
    </row>
    <row r="17" spans="1:4" ht="12.75">
      <c r="A17" t="s">
        <v>445</v>
      </c>
      <c r="B17">
        <v>362</v>
      </c>
      <c r="C17">
        <v>5</v>
      </c>
      <c r="D17" t="s">
        <v>27</v>
      </c>
    </row>
    <row r="18" spans="1:4" ht="12.75">
      <c r="A18" t="s">
        <v>446</v>
      </c>
      <c r="B18">
        <v>315</v>
      </c>
      <c r="C18">
        <v>4</v>
      </c>
      <c r="D18" t="s">
        <v>27</v>
      </c>
    </row>
    <row r="19" spans="1:4" ht="12.75">
      <c r="A19" t="s">
        <v>447</v>
      </c>
      <c r="B19">
        <v>326</v>
      </c>
      <c r="C19">
        <v>70</v>
      </c>
      <c r="D19" t="s">
        <v>27</v>
      </c>
    </row>
    <row r="20" spans="1:4" ht="12.75">
      <c r="A20" t="s">
        <v>448</v>
      </c>
      <c r="B20">
        <v>323</v>
      </c>
      <c r="C20">
        <v>13</v>
      </c>
      <c r="D20" t="s">
        <v>27</v>
      </c>
    </row>
    <row r="21" spans="1:4" ht="12.75">
      <c r="A21" t="s">
        <v>449</v>
      </c>
      <c r="B21">
        <v>334</v>
      </c>
      <c r="C21">
        <v>1</v>
      </c>
      <c r="D21" t="s">
        <v>27</v>
      </c>
    </row>
    <row r="22" spans="1:4" ht="12.75">
      <c r="A22" t="s">
        <v>450</v>
      </c>
      <c r="B22">
        <v>350</v>
      </c>
      <c r="C22">
        <v>50</v>
      </c>
      <c r="D22" t="s">
        <v>27</v>
      </c>
    </row>
    <row r="23" spans="1:4" ht="12.75">
      <c r="A23" t="s">
        <v>451</v>
      </c>
      <c r="B23">
        <v>344</v>
      </c>
      <c r="C23">
        <v>3</v>
      </c>
      <c r="D23" t="s">
        <v>27</v>
      </c>
    </row>
    <row r="24" spans="1:4" ht="12.75">
      <c r="A24" t="s">
        <v>452</v>
      </c>
      <c r="B24">
        <v>327</v>
      </c>
      <c r="C24">
        <v>60</v>
      </c>
      <c r="D24" t="s">
        <v>27</v>
      </c>
    </row>
    <row r="25" spans="1:4" ht="12.75">
      <c r="A25" t="s">
        <v>454</v>
      </c>
      <c r="B25">
        <v>358</v>
      </c>
      <c r="C25">
        <v>105</v>
      </c>
      <c r="D25" t="s">
        <v>27</v>
      </c>
    </row>
    <row r="26" spans="1:4" ht="12.75">
      <c r="A26" t="s">
        <v>455</v>
      </c>
      <c r="B26">
        <v>330</v>
      </c>
      <c r="C26">
        <v>1555</v>
      </c>
      <c r="D26" t="s">
        <v>27</v>
      </c>
    </row>
    <row r="27" spans="1:4" ht="12.75">
      <c r="A27" t="s">
        <v>456</v>
      </c>
      <c r="B27">
        <v>322</v>
      </c>
      <c r="C27">
        <v>80</v>
      </c>
      <c r="D27" t="s">
        <v>27</v>
      </c>
    </row>
    <row r="28" spans="1:4" ht="12.75">
      <c r="A28" t="s">
        <v>337</v>
      </c>
      <c r="B28">
        <v>351</v>
      </c>
      <c r="C28">
        <v>2</v>
      </c>
      <c r="D28" t="s">
        <v>27</v>
      </c>
    </row>
    <row r="29" spans="1:4" ht="12.75">
      <c r="A29" t="s">
        <v>457</v>
      </c>
      <c r="B29">
        <v>320</v>
      </c>
      <c r="C29">
        <v>50</v>
      </c>
      <c r="D29" t="s">
        <v>27</v>
      </c>
    </row>
    <row r="30" spans="1:4" ht="12.75">
      <c r="A30" t="s">
        <v>458</v>
      </c>
      <c r="B30">
        <v>321</v>
      </c>
      <c r="C30">
        <v>120</v>
      </c>
      <c r="D30" t="s">
        <v>27</v>
      </c>
    </row>
    <row r="31" spans="1:4" ht="12.75">
      <c r="A31" t="s">
        <v>459</v>
      </c>
      <c r="B31">
        <v>306</v>
      </c>
      <c r="C31">
        <v>1</v>
      </c>
      <c r="D31" t="s">
        <v>27</v>
      </c>
    </row>
    <row r="32" spans="1:4" ht="12.75">
      <c r="A32" t="s">
        <v>460</v>
      </c>
      <c r="B32">
        <v>309</v>
      </c>
      <c r="C32">
        <v>2</v>
      </c>
      <c r="D32" t="s">
        <v>27</v>
      </c>
    </row>
    <row r="33" spans="1:4" ht="12.75">
      <c r="A33" t="s">
        <v>461</v>
      </c>
      <c r="B33">
        <v>343</v>
      </c>
      <c r="C33">
        <v>4</v>
      </c>
      <c r="D33" t="s">
        <v>27</v>
      </c>
    </row>
    <row r="34" spans="1:4" ht="12.75">
      <c r="A34" t="s">
        <v>462</v>
      </c>
      <c r="B34">
        <v>310</v>
      </c>
      <c r="C34">
        <v>5329</v>
      </c>
      <c r="D34" t="s">
        <v>27</v>
      </c>
    </row>
    <row r="35" spans="1:4" ht="12.75">
      <c r="A35" t="s">
        <v>463</v>
      </c>
      <c r="B35">
        <v>345</v>
      </c>
      <c r="C35">
        <v>2</v>
      </c>
      <c r="D35" t="s">
        <v>27</v>
      </c>
    </row>
    <row r="36" spans="1:4" ht="12.75">
      <c r="A36" t="s">
        <v>465</v>
      </c>
      <c r="B36">
        <v>348</v>
      </c>
      <c r="C36">
        <v>24</v>
      </c>
      <c r="D36" t="s">
        <v>27</v>
      </c>
    </row>
    <row r="37" spans="1:4" ht="12.75">
      <c r="A37" t="s">
        <v>466</v>
      </c>
      <c r="B37">
        <v>304</v>
      </c>
      <c r="C37">
        <v>1</v>
      </c>
      <c r="D37" t="s">
        <v>27</v>
      </c>
    </row>
    <row r="38" spans="1:4" ht="12.75">
      <c r="A38" t="s">
        <v>467</v>
      </c>
      <c r="B38">
        <v>354</v>
      </c>
      <c r="C38">
        <v>3</v>
      </c>
      <c r="D38" t="s">
        <v>27</v>
      </c>
    </row>
    <row r="39" spans="1:4" ht="12.75">
      <c r="A39" t="s">
        <v>468</v>
      </c>
      <c r="B39">
        <v>314</v>
      </c>
      <c r="C39">
        <v>16</v>
      </c>
      <c r="D39" t="s">
        <v>27</v>
      </c>
    </row>
    <row r="40" spans="1:4" ht="12.75">
      <c r="A40" t="s">
        <v>469</v>
      </c>
      <c r="B40">
        <v>341</v>
      </c>
      <c r="C40">
        <v>2</v>
      </c>
      <c r="D40" t="s">
        <v>27</v>
      </c>
    </row>
    <row r="41" spans="1:4" ht="12.75">
      <c r="A41" t="s">
        <v>470</v>
      </c>
      <c r="B41">
        <v>377</v>
      </c>
      <c r="C41">
        <v>2</v>
      </c>
      <c r="D41" t="s">
        <v>27</v>
      </c>
    </row>
    <row r="42" spans="1:4" ht="12.75">
      <c r="A42" t="s">
        <v>472</v>
      </c>
      <c r="B42">
        <v>346</v>
      </c>
      <c r="C42">
        <v>32</v>
      </c>
      <c r="D42" t="s">
        <v>27</v>
      </c>
    </row>
    <row r="43" spans="1:4" ht="12.75">
      <c r="A43" t="s">
        <v>473</v>
      </c>
      <c r="B43">
        <v>438</v>
      </c>
      <c r="C43">
        <v>1</v>
      </c>
      <c r="D43" t="s">
        <v>27</v>
      </c>
    </row>
    <row r="44" spans="1:4" ht="12.75">
      <c r="A44" t="s">
        <v>474</v>
      </c>
      <c r="B44">
        <v>331</v>
      </c>
      <c r="C44">
        <v>125</v>
      </c>
      <c r="D44" t="s">
        <v>27</v>
      </c>
    </row>
    <row r="45" spans="1:4" ht="12.75">
      <c r="A45" t="s">
        <v>475</v>
      </c>
      <c r="B45">
        <v>335</v>
      </c>
      <c r="C45">
        <v>5045</v>
      </c>
      <c r="D45" t="s">
        <v>27</v>
      </c>
    </row>
    <row r="46" spans="1:4" ht="12.75">
      <c r="A46" t="s">
        <v>476</v>
      </c>
      <c r="B46">
        <v>317</v>
      </c>
      <c r="C46">
        <v>87</v>
      </c>
      <c r="D46" t="s">
        <v>27</v>
      </c>
    </row>
    <row r="47" spans="1:4" ht="12.75">
      <c r="A47" t="s">
        <v>478</v>
      </c>
      <c r="B47">
        <v>349</v>
      </c>
      <c r="C47">
        <v>11</v>
      </c>
      <c r="D47" t="s">
        <v>27</v>
      </c>
    </row>
    <row r="48" spans="1:4" ht="12.75">
      <c r="A48" t="s">
        <v>481</v>
      </c>
      <c r="B48">
        <v>405</v>
      </c>
      <c r="C48">
        <v>1</v>
      </c>
      <c r="D48" t="s">
        <v>27</v>
      </c>
    </row>
    <row r="49" spans="1:4" ht="12.75">
      <c r="A49" t="s">
        <v>484</v>
      </c>
      <c r="B49">
        <v>318</v>
      </c>
      <c r="C49">
        <v>8</v>
      </c>
      <c r="D49"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67" t="s">
        <v>578</v>
      </c>
      <c r="B1" s="467"/>
    </row>
    <row r="2" spans="1:2" ht="12.75">
      <c r="A2" t="s">
        <v>175</v>
      </c>
      <c r="B2" s="330">
        <f>SUM(B3:B4)</f>
        <v>4</v>
      </c>
    </row>
    <row r="3" spans="1:2" ht="12.75">
      <c r="A3" t="s">
        <v>480</v>
      </c>
      <c r="B3" s="337" t="str">
        <f>IF(ISNA(VLOOKUP(A3,Accrued_Data!$A$2:$D$52,3,FALSE)),"0",(VLOOKUP(A3,Accrued_Data!$A$2:$D$52,3,FALSE)))</f>
        <v>0</v>
      </c>
    </row>
    <row r="4" spans="1:2" ht="12.75">
      <c r="A4" t="s">
        <v>429</v>
      </c>
      <c r="B4" s="337">
        <f>IF(ISNA(VLOOKUP(A4,Accrued_Data!$A$2:$D$52,3,FALSE)),"0",(VLOOKUP(A4,Accrued_Data!$A$2:$D$52,3,FALSE)))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74" t="s">
        <v>326</v>
      </c>
      <c r="B1" s="474"/>
      <c r="C1" s="474"/>
      <c r="D1" s="474"/>
      <c r="E1" s="474"/>
      <c r="F1" s="474"/>
      <c r="P1" s="188"/>
      <c r="Q1" s="188"/>
    </row>
    <row r="2" spans="1:18" ht="26.25" customHeight="1">
      <c r="A2" s="123"/>
      <c r="B2" s="124"/>
      <c r="C2" s="124"/>
      <c r="H2" s="145"/>
      <c r="I2" s="475" t="s">
        <v>238</v>
      </c>
      <c r="J2" s="475"/>
      <c r="K2" s="476"/>
      <c r="L2" s="469" t="s">
        <v>11</v>
      </c>
      <c r="M2" s="470"/>
      <c r="N2" s="47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72" t="s">
        <v>324</v>
      </c>
      <c r="B4" s="473"/>
      <c r="C4" s="154"/>
      <c r="D4" s="472" t="s">
        <v>1</v>
      </c>
      <c r="E4" s="473"/>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8"/>
      <c r="D2" s="224"/>
      <c r="E2" s="162" t="s">
        <v>39</v>
      </c>
      <c r="F2" s="160" t="s">
        <v>30</v>
      </c>
      <c r="G2" s="160" t="s">
        <v>31</v>
      </c>
    </row>
    <row r="3" spans="2:7" ht="3.75" customHeight="1">
      <c r="B3" s="225"/>
      <c r="C3" s="339"/>
      <c r="D3" s="226"/>
      <c r="E3" s="395">
        <v>900677</v>
      </c>
      <c r="F3" s="397">
        <v>616551</v>
      </c>
      <c r="G3" s="393">
        <v>0.6845417391584331</v>
      </c>
    </row>
    <row r="4" spans="2:7" ht="14.25" customHeight="1" thickBot="1">
      <c r="B4" s="258">
        <v>41272</v>
      </c>
      <c r="C4" s="340"/>
      <c r="D4" s="227"/>
      <c r="E4" s="396"/>
      <c r="F4" s="398"/>
      <c r="G4" s="394"/>
    </row>
    <row r="5" spans="2:7" ht="10.5" customHeight="1" thickBot="1">
      <c r="B5" s="105"/>
      <c r="C5" s="105"/>
      <c r="D5" s="106"/>
      <c r="E5" s="53"/>
      <c r="F5" s="53"/>
      <c r="G5" s="53"/>
    </row>
    <row r="6" spans="2:7" ht="25.5">
      <c r="B6" s="399" t="s">
        <v>328</v>
      </c>
      <c r="C6" s="400"/>
      <c r="D6" s="401"/>
      <c r="E6" s="162" t="s">
        <v>39</v>
      </c>
      <c r="F6" s="160" t="s">
        <v>30</v>
      </c>
      <c r="G6" s="160" t="s">
        <v>31</v>
      </c>
    </row>
    <row r="7" spans="2:7" ht="12" customHeight="1">
      <c r="B7" s="402"/>
      <c r="C7" s="403"/>
      <c r="D7" s="404"/>
      <c r="E7" s="395">
        <v>864672</v>
      </c>
      <c r="F7" s="397">
        <v>589632</v>
      </c>
      <c r="G7" s="393">
        <v>0.6819140668369046</v>
      </c>
    </row>
    <row r="8" spans="2:7" ht="2.25" customHeight="1" thickBot="1">
      <c r="B8" s="405"/>
      <c r="C8" s="406"/>
      <c r="D8" s="407"/>
      <c r="E8" s="396"/>
      <c r="F8" s="398"/>
      <c r="G8" s="394"/>
    </row>
    <row r="9" spans="2:7" ht="18.75" customHeight="1" thickBot="1">
      <c r="B9" s="108" t="s">
        <v>308</v>
      </c>
      <c r="C9" s="108"/>
      <c r="D9" s="106"/>
      <c r="E9" s="54"/>
      <c r="F9" s="54"/>
      <c r="G9" s="54"/>
    </row>
    <row r="10" spans="2:8" ht="27" customHeight="1">
      <c r="B10" s="109"/>
      <c r="C10" s="341"/>
      <c r="D10" s="408" t="s">
        <v>24</v>
      </c>
      <c r="E10" s="162" t="s">
        <v>39</v>
      </c>
      <c r="F10" s="163" t="s">
        <v>30</v>
      </c>
      <c r="G10" s="164" t="s">
        <v>31</v>
      </c>
      <c r="H10" s="50"/>
    </row>
    <row r="11" spans="2:8" ht="15" customHeight="1">
      <c r="B11" s="137" t="s">
        <v>23</v>
      </c>
      <c r="C11" s="342"/>
      <c r="D11" s="409"/>
      <c r="E11" s="127">
        <v>823140</v>
      </c>
      <c r="F11" s="128">
        <v>574838</v>
      </c>
      <c r="G11" s="129">
        <v>0.6983477901693516</v>
      </c>
      <c r="H11" s="50"/>
    </row>
    <row r="12" spans="1:8" s="113" customFormat="1" ht="21" customHeight="1">
      <c r="A12" s="111"/>
      <c r="B12" s="112" t="s">
        <v>7</v>
      </c>
      <c r="C12" s="343"/>
      <c r="D12" s="110"/>
      <c r="E12" s="58"/>
      <c r="F12" s="59"/>
      <c r="G12" s="55"/>
      <c r="H12" s="51"/>
    </row>
    <row r="13" spans="2:8" ht="15">
      <c r="B13" s="114" t="s">
        <v>309</v>
      </c>
      <c r="C13" s="356" t="s">
        <v>538</v>
      </c>
      <c r="D13" s="178" t="s">
        <v>322</v>
      </c>
      <c r="E13" s="130">
        <v>1799</v>
      </c>
      <c r="F13" s="130">
        <v>1449</v>
      </c>
      <c r="G13" s="132">
        <v>0.8054474708171206</v>
      </c>
      <c r="H13" s="50"/>
    </row>
    <row r="14" spans="2:8" ht="15">
      <c r="B14" s="114" t="s">
        <v>310</v>
      </c>
      <c r="C14" s="356" t="s">
        <v>524</v>
      </c>
      <c r="D14" s="179" t="s">
        <v>323</v>
      </c>
      <c r="E14" s="130">
        <v>74248</v>
      </c>
      <c r="F14" s="130">
        <v>50855</v>
      </c>
      <c r="G14" s="132">
        <v>0.6849342743238875</v>
      </c>
      <c r="H14" s="50"/>
    </row>
    <row r="15" spans="2:8" ht="15">
      <c r="B15" s="114" t="s">
        <v>19</v>
      </c>
      <c r="C15" s="356" t="s">
        <v>523</v>
      </c>
      <c r="D15" s="170">
        <v>110</v>
      </c>
      <c r="E15" s="130">
        <v>242825</v>
      </c>
      <c r="F15" s="130">
        <v>174080</v>
      </c>
      <c r="G15" s="132">
        <v>0.7168948831462988</v>
      </c>
      <c r="H15" s="50"/>
    </row>
    <row r="16" spans="2:8" ht="24.75" customHeight="1">
      <c r="B16" s="112" t="s">
        <v>8</v>
      </c>
      <c r="C16" s="343"/>
      <c r="D16" s="180"/>
      <c r="E16" s="58"/>
      <c r="F16" s="59"/>
      <c r="G16" s="191"/>
      <c r="H16" s="50"/>
    </row>
    <row r="17" spans="2:8" ht="15">
      <c r="B17" s="115" t="s">
        <v>311</v>
      </c>
      <c r="C17" s="356" t="s">
        <v>525</v>
      </c>
      <c r="D17" s="170">
        <v>140</v>
      </c>
      <c r="E17" s="130">
        <v>13833</v>
      </c>
      <c r="F17" s="130">
        <v>6001</v>
      </c>
      <c r="G17" s="132">
        <v>0.43381768235379164</v>
      </c>
      <c r="H17" s="50"/>
    </row>
    <row r="18" spans="2:8" ht="15">
      <c r="B18" s="115" t="s">
        <v>320</v>
      </c>
      <c r="C18" s="356" t="s">
        <v>487</v>
      </c>
      <c r="D18" s="170">
        <v>410</v>
      </c>
      <c r="E18" s="130">
        <v>371</v>
      </c>
      <c r="F18" s="130">
        <v>249</v>
      </c>
      <c r="G18" s="132">
        <v>0.6711590296495957</v>
      </c>
      <c r="H18" s="50"/>
    </row>
    <row r="19" spans="2:8" ht="21.75" customHeight="1">
      <c r="B19" s="112" t="s">
        <v>20</v>
      </c>
      <c r="C19" s="343"/>
      <c r="D19" s="180"/>
      <c r="E19" s="58"/>
      <c r="F19" s="59"/>
      <c r="G19" s="191"/>
      <c r="H19" s="50"/>
    </row>
    <row r="20" spans="2:8" ht="15">
      <c r="B20" s="114" t="s">
        <v>312</v>
      </c>
      <c r="C20" s="356" t="s">
        <v>518</v>
      </c>
      <c r="D20" s="179" t="s">
        <v>327</v>
      </c>
      <c r="E20" s="130">
        <v>482457</v>
      </c>
      <c r="F20" s="130">
        <v>336334</v>
      </c>
      <c r="G20" s="132">
        <v>0.697127412391156</v>
      </c>
      <c r="H20" s="52"/>
    </row>
    <row r="21" spans="2:8" ht="15">
      <c r="B21" s="115" t="s">
        <v>313</v>
      </c>
      <c r="C21" s="356" t="s">
        <v>522</v>
      </c>
      <c r="D21" s="170">
        <v>320</v>
      </c>
      <c r="E21" s="130">
        <v>2079</v>
      </c>
      <c r="F21" s="130">
        <v>766</v>
      </c>
      <c r="G21" s="132">
        <v>0.36844636844636847</v>
      </c>
      <c r="H21" s="50"/>
    </row>
    <row r="22" spans="2:8" ht="15">
      <c r="B22" s="115" t="s">
        <v>319</v>
      </c>
      <c r="C22" s="356" t="s">
        <v>488</v>
      </c>
      <c r="D22" s="170">
        <v>420</v>
      </c>
      <c r="E22" s="130">
        <v>143</v>
      </c>
      <c r="F22" s="130">
        <v>101</v>
      </c>
      <c r="G22" s="132">
        <v>0.7062937062937062</v>
      </c>
      <c r="H22" s="50"/>
    </row>
    <row r="23" spans="2:8" ht="15">
      <c r="B23" s="363" t="s">
        <v>590</v>
      </c>
      <c r="C23" s="364" t="s">
        <v>506</v>
      </c>
      <c r="D23" s="169">
        <v>681</v>
      </c>
      <c r="E23" s="365">
        <v>303</v>
      </c>
      <c r="F23" s="365">
        <v>77</v>
      </c>
      <c r="G23" s="366">
        <v>0.25412541254125415</v>
      </c>
      <c r="H23" s="50"/>
    </row>
    <row r="24" spans="2:8" ht="15">
      <c r="B24" s="115" t="s">
        <v>591</v>
      </c>
      <c r="C24" s="356" t="s">
        <v>507</v>
      </c>
      <c r="D24" s="170">
        <v>687</v>
      </c>
      <c r="E24" s="130" t="s">
        <v>594</v>
      </c>
      <c r="F24" s="130" t="s">
        <v>594</v>
      </c>
      <c r="G24" s="132" t="e">
        <v>#DIV/0!</v>
      </c>
      <c r="H24" s="50"/>
    </row>
    <row r="25" spans="2:8" ht="15">
      <c r="B25" s="115" t="s">
        <v>596</v>
      </c>
      <c r="C25" s="356" t="s">
        <v>501</v>
      </c>
      <c r="D25" s="298">
        <v>405</v>
      </c>
      <c r="E25" s="131">
        <v>4553</v>
      </c>
      <c r="F25" s="130">
        <v>4530</v>
      </c>
      <c r="G25" s="132">
        <v>0.9949483856797716</v>
      </c>
      <c r="H25" s="50"/>
    </row>
    <row r="26" spans="2:8" ht="15">
      <c r="B26" s="115" t="s">
        <v>592</v>
      </c>
      <c r="C26" s="357" t="s">
        <v>503</v>
      </c>
      <c r="D26" s="298">
        <v>409</v>
      </c>
      <c r="E26" s="131">
        <v>529</v>
      </c>
      <c r="F26" s="131">
        <v>396</v>
      </c>
      <c r="G26" s="361">
        <v>0.7485822306238186</v>
      </c>
      <c r="H26" s="50"/>
    </row>
    <row r="27" spans="2:8" ht="18">
      <c r="B27" s="112" t="s">
        <v>593</v>
      </c>
      <c r="C27" s="360"/>
      <c r="D27" s="296"/>
      <c r="E27" s="362"/>
      <c r="F27" s="362"/>
      <c r="G27" s="297"/>
      <c r="H27" s="50"/>
    </row>
    <row r="28" spans="2:8" ht="33.75" customHeight="1">
      <c r="B28" s="414" t="s">
        <v>583</v>
      </c>
      <c r="C28" s="415"/>
      <c r="D28" s="415"/>
      <c r="E28" s="415"/>
      <c r="F28" s="415"/>
      <c r="G28" s="416"/>
      <c r="H28" s="50"/>
    </row>
    <row r="29" spans="2:8" ht="72.75" customHeight="1" thickBot="1">
      <c r="B29" s="411" t="s">
        <v>582</v>
      </c>
      <c r="C29" s="412"/>
      <c r="D29" s="412"/>
      <c r="E29" s="412"/>
      <c r="F29" s="412"/>
      <c r="G29" s="413"/>
      <c r="H29" s="50"/>
    </row>
    <row r="30" spans="2:7" ht="31.5" customHeight="1" thickBot="1">
      <c r="B30" s="410"/>
      <c r="C30" s="410"/>
      <c r="D30" s="410"/>
      <c r="E30" s="410"/>
      <c r="F30" s="410"/>
      <c r="G30" s="410"/>
    </row>
    <row r="31" spans="2:8" ht="27" customHeight="1">
      <c r="B31" s="116"/>
      <c r="C31" s="345"/>
      <c r="D31" s="408" t="s">
        <v>24</v>
      </c>
      <c r="E31" s="162" t="s">
        <v>39</v>
      </c>
      <c r="F31" s="163" t="s">
        <v>30</v>
      </c>
      <c r="G31" s="164" t="s">
        <v>31</v>
      </c>
      <c r="H31" s="50"/>
    </row>
    <row r="32" spans="2:8" ht="15" customHeight="1">
      <c r="B32" s="136" t="s">
        <v>213</v>
      </c>
      <c r="C32" s="346"/>
      <c r="D32" s="409"/>
      <c r="E32" s="127">
        <v>301568</v>
      </c>
      <c r="F32" s="128">
        <v>198871</v>
      </c>
      <c r="G32" s="133">
        <v>0.6594565736417657</v>
      </c>
      <c r="H32" s="50"/>
    </row>
    <row r="33" spans="2:8" ht="15">
      <c r="B33" s="115" t="s">
        <v>214</v>
      </c>
      <c r="C33" s="356" t="s">
        <v>214</v>
      </c>
      <c r="D33" s="169">
        <v>130</v>
      </c>
      <c r="E33" s="131">
        <v>169865</v>
      </c>
      <c r="F33" s="131">
        <v>117142</v>
      </c>
      <c r="G33" s="132">
        <v>0.6896182262384835</v>
      </c>
      <c r="H33" s="50"/>
    </row>
    <row r="34" spans="2:8" ht="15">
      <c r="B34" s="115" t="s">
        <v>215</v>
      </c>
      <c r="C34" s="356" t="s">
        <v>537</v>
      </c>
      <c r="D34" s="170">
        <v>133</v>
      </c>
      <c r="E34" s="131">
        <v>31</v>
      </c>
      <c r="F34" s="131">
        <v>21</v>
      </c>
      <c r="G34" s="132">
        <v>0.6774193548387096</v>
      </c>
      <c r="H34" s="50"/>
    </row>
    <row r="35" spans="2:8" ht="15">
      <c r="B35" s="115" t="s">
        <v>216</v>
      </c>
      <c r="C35" s="356" t="s">
        <v>517</v>
      </c>
      <c r="D35" s="170">
        <v>135</v>
      </c>
      <c r="E35" s="131">
        <v>201</v>
      </c>
      <c r="F35" s="131">
        <v>153</v>
      </c>
      <c r="G35" s="132">
        <v>0.7611940298507462</v>
      </c>
      <c r="H35" s="50"/>
    </row>
    <row r="36" spans="2:8" ht="15">
      <c r="B36" s="115" t="s">
        <v>217</v>
      </c>
      <c r="C36" s="356" t="s">
        <v>528</v>
      </c>
      <c r="D36" s="170">
        <v>290</v>
      </c>
      <c r="E36" s="131">
        <v>73211</v>
      </c>
      <c r="F36" s="131">
        <v>54946</v>
      </c>
      <c r="G36" s="132">
        <v>0.7505156328966959</v>
      </c>
      <c r="H36" s="50"/>
    </row>
    <row r="37" spans="2:8" ht="15">
      <c r="B37" s="115" t="s">
        <v>321</v>
      </c>
      <c r="C37" s="356" t="s">
        <v>490</v>
      </c>
      <c r="D37" s="170">
        <v>450</v>
      </c>
      <c r="E37" s="131">
        <v>7</v>
      </c>
      <c r="F37" s="131">
        <v>7</v>
      </c>
      <c r="G37" s="132">
        <v>1</v>
      </c>
      <c r="H37" s="50"/>
    </row>
    <row r="38" spans="2:8" ht="15">
      <c r="B38" s="115" t="s">
        <v>218</v>
      </c>
      <c r="C38" s="356" t="s">
        <v>516</v>
      </c>
      <c r="D38" s="170">
        <v>310</v>
      </c>
      <c r="E38" s="131">
        <v>15966</v>
      </c>
      <c r="F38" s="131">
        <v>6496</v>
      </c>
      <c r="G38" s="132">
        <v>0.4068645872479018</v>
      </c>
      <c r="H38" s="50"/>
    </row>
    <row r="39" spans="2:8" ht="15">
      <c r="B39" s="115" t="s">
        <v>219</v>
      </c>
      <c r="C39" s="356" t="s">
        <v>513</v>
      </c>
      <c r="D39" s="170">
        <v>600</v>
      </c>
      <c r="E39" s="131">
        <v>42287</v>
      </c>
      <c r="F39" s="131">
        <v>20106</v>
      </c>
      <c r="G39" s="132">
        <v>0.4754652730153475</v>
      </c>
      <c r="H39" s="50"/>
    </row>
    <row r="40" spans="2:8" ht="58.5" customHeight="1" thickBot="1">
      <c r="B40" s="418" t="s">
        <v>584</v>
      </c>
      <c r="C40" s="419"/>
      <c r="D40" s="419"/>
      <c r="E40" s="419"/>
      <c r="F40" s="419"/>
      <c r="G40" s="117"/>
      <c r="H40" s="50"/>
    </row>
    <row r="41" spans="2:7" ht="18" customHeight="1" thickBot="1">
      <c r="B41" s="108"/>
      <c r="C41" s="108"/>
      <c r="D41" s="106"/>
      <c r="E41" s="53"/>
      <c r="F41" s="53"/>
      <c r="G41" s="53"/>
    </row>
    <row r="42" spans="2:8" ht="27" customHeight="1">
      <c r="B42" s="116"/>
      <c r="C42" s="345"/>
      <c r="D42" s="408" t="s">
        <v>24</v>
      </c>
      <c r="E42" s="162" t="s">
        <v>39</v>
      </c>
      <c r="F42" s="163" t="s">
        <v>30</v>
      </c>
      <c r="G42" s="164" t="s">
        <v>31</v>
      </c>
      <c r="H42" s="50"/>
    </row>
    <row r="43" spans="2:8" ht="15" customHeight="1">
      <c r="B43" s="136" t="s">
        <v>390</v>
      </c>
      <c r="C43" s="346"/>
      <c r="D43" s="409"/>
      <c r="E43" s="127">
        <v>71567</v>
      </c>
      <c r="F43" s="134">
        <v>36765</v>
      </c>
      <c r="G43" s="133">
        <v>0.5137144214512275</v>
      </c>
      <c r="H43" s="50"/>
    </row>
    <row r="44" spans="2:8" ht="15">
      <c r="B44" s="115" t="s">
        <v>221</v>
      </c>
      <c r="C44" s="356" t="s">
        <v>520</v>
      </c>
      <c r="D44" s="169">
        <v>314</v>
      </c>
      <c r="E44" s="131">
        <v>7555</v>
      </c>
      <c r="F44" s="131">
        <v>2230</v>
      </c>
      <c r="G44" s="132">
        <v>0.29516876240900064</v>
      </c>
      <c r="H44" s="50"/>
    </row>
    <row r="45" spans="2:8" ht="15">
      <c r="B45" s="115" t="s">
        <v>389</v>
      </c>
      <c r="C45" s="356" t="s">
        <v>532</v>
      </c>
      <c r="D45" s="170">
        <v>680</v>
      </c>
      <c r="E45" s="131">
        <v>26</v>
      </c>
      <c r="F45" s="131">
        <v>23</v>
      </c>
      <c r="G45" s="132">
        <v>0.8846153846153846</v>
      </c>
      <c r="H45" s="50"/>
    </row>
    <row r="46" spans="2:8" ht="15">
      <c r="B46" s="115" t="s">
        <v>222</v>
      </c>
      <c r="C46" s="356" t="s">
        <v>535</v>
      </c>
      <c r="D46" s="170">
        <v>682</v>
      </c>
      <c r="E46" s="131">
        <v>974</v>
      </c>
      <c r="F46" s="131">
        <v>892</v>
      </c>
      <c r="G46" s="132">
        <v>0.9158110882956879</v>
      </c>
      <c r="H46" s="50"/>
    </row>
    <row r="47" spans="2:8" ht="15">
      <c r="B47" s="115" t="s">
        <v>223</v>
      </c>
      <c r="C47" s="356" t="s">
        <v>534</v>
      </c>
      <c r="D47" s="170">
        <v>684</v>
      </c>
      <c r="E47" s="131">
        <v>16644</v>
      </c>
      <c r="F47" s="131">
        <v>60</v>
      </c>
      <c r="G47" s="132">
        <v>0.003604902667627974</v>
      </c>
      <c r="H47" s="50"/>
    </row>
    <row r="48" spans="2:8" ht="15.75" customHeight="1">
      <c r="B48" s="115" t="s">
        <v>270</v>
      </c>
      <c r="C48" s="356" t="s">
        <v>531</v>
      </c>
      <c r="D48" s="170">
        <v>685</v>
      </c>
      <c r="E48" s="131">
        <v>133</v>
      </c>
      <c r="F48" s="131">
        <v>130</v>
      </c>
      <c r="G48" s="132">
        <v>0.9774436090225563</v>
      </c>
      <c r="H48" s="50"/>
    </row>
    <row r="49" spans="2:8" ht="15">
      <c r="B49" s="115" t="s">
        <v>271</v>
      </c>
      <c r="C49" s="356" t="s">
        <v>508</v>
      </c>
      <c r="D49" s="170">
        <v>690</v>
      </c>
      <c r="E49" s="131">
        <v>9842</v>
      </c>
      <c r="F49" s="131">
        <v>6449</v>
      </c>
      <c r="G49" s="132">
        <v>0.6552529973582605</v>
      </c>
      <c r="H49" s="50"/>
    </row>
    <row r="50" spans="2:8" ht="15">
      <c r="B50" s="115" t="s">
        <v>272</v>
      </c>
      <c r="C50" s="356" t="s">
        <v>536</v>
      </c>
      <c r="D50" s="170" t="s">
        <v>2</v>
      </c>
      <c r="E50" s="131">
        <v>36393</v>
      </c>
      <c r="F50" s="131">
        <v>26981</v>
      </c>
      <c r="G50" s="132">
        <v>0.741378836589454</v>
      </c>
      <c r="H50" s="50"/>
    </row>
    <row r="51" spans="2:8" ht="63" customHeight="1" thickBot="1">
      <c r="B51" s="420" t="s">
        <v>585</v>
      </c>
      <c r="C51" s="421"/>
      <c r="D51" s="421"/>
      <c r="E51" s="421"/>
      <c r="F51" s="421"/>
      <c r="G51" s="117"/>
      <c r="H51" s="50"/>
    </row>
    <row r="52" spans="2:7" ht="15.75" thickBot="1">
      <c r="B52" s="410"/>
      <c r="C52" s="410"/>
      <c r="D52" s="410"/>
      <c r="E52" s="410"/>
      <c r="F52" s="410"/>
      <c r="G52" s="410"/>
    </row>
    <row r="53" spans="2:8" ht="27" customHeight="1">
      <c r="B53" s="116"/>
      <c r="C53" s="345"/>
      <c r="D53" s="408" t="s">
        <v>24</v>
      </c>
      <c r="E53" s="162" t="s">
        <v>39</v>
      </c>
      <c r="F53" s="163" t="s">
        <v>30</v>
      </c>
      <c r="G53" s="164" t="s">
        <v>31</v>
      </c>
      <c r="H53" s="50"/>
    </row>
    <row r="54" spans="2:8" ht="15" customHeight="1">
      <c r="B54" s="136" t="s">
        <v>265</v>
      </c>
      <c r="C54" s="346"/>
      <c r="D54" s="409"/>
      <c r="E54" s="127">
        <v>86414</v>
      </c>
      <c r="F54" s="134">
        <v>58312</v>
      </c>
      <c r="G54" s="133">
        <v>0.6747980651283357</v>
      </c>
      <c r="H54" s="50"/>
    </row>
    <row r="55" spans="2:8" ht="15">
      <c r="B55" s="115" t="s">
        <v>273</v>
      </c>
      <c r="C55" s="356" t="s">
        <v>530</v>
      </c>
      <c r="D55" s="169">
        <v>173</v>
      </c>
      <c r="E55" s="131">
        <v>2197</v>
      </c>
      <c r="F55" s="131">
        <v>1719</v>
      </c>
      <c r="G55" s="132">
        <v>0.782430587164315</v>
      </c>
      <c r="H55" s="50"/>
    </row>
    <row r="56" spans="2:8" ht="15">
      <c r="B56" s="115" t="s">
        <v>274</v>
      </c>
      <c r="C56" s="356" t="s">
        <v>511</v>
      </c>
      <c r="D56" s="170">
        <v>400</v>
      </c>
      <c r="E56" s="131">
        <v>25068</v>
      </c>
      <c r="F56" s="131">
        <v>16089</v>
      </c>
      <c r="G56" s="132">
        <v>0.6418142651986597</v>
      </c>
      <c r="H56" s="50"/>
    </row>
    <row r="57" spans="2:8" ht="15">
      <c r="B57" s="115" t="s">
        <v>275</v>
      </c>
      <c r="C57" s="356" t="s">
        <v>509</v>
      </c>
      <c r="D57" s="170">
        <v>500</v>
      </c>
      <c r="E57" s="131">
        <v>2228</v>
      </c>
      <c r="F57" s="131">
        <v>428</v>
      </c>
      <c r="G57" s="132">
        <v>0.19210053859964094</v>
      </c>
      <c r="H57" s="50"/>
    </row>
    <row r="58" spans="2:8" ht="15">
      <c r="B58" s="115" t="s">
        <v>276</v>
      </c>
      <c r="C58" s="356" t="s">
        <v>515</v>
      </c>
      <c r="D58" s="170">
        <v>510</v>
      </c>
      <c r="E58" s="131">
        <v>26688</v>
      </c>
      <c r="F58" s="131">
        <v>14428</v>
      </c>
      <c r="G58" s="132">
        <v>0.5406175059952039</v>
      </c>
      <c r="H58" s="50"/>
    </row>
    <row r="59" spans="2:8" ht="15">
      <c r="B59" s="115" t="s">
        <v>277</v>
      </c>
      <c r="C59" s="356" t="s">
        <v>533</v>
      </c>
      <c r="D59" s="170">
        <v>930</v>
      </c>
      <c r="E59" s="131">
        <v>29312</v>
      </c>
      <c r="F59" s="131">
        <v>25036</v>
      </c>
      <c r="G59" s="132">
        <v>0.8541211790393013</v>
      </c>
      <c r="H59" s="50"/>
    </row>
    <row r="60" spans="2:8" ht="15">
      <c r="B60" s="115" t="s">
        <v>278</v>
      </c>
      <c r="C60" s="356" t="s">
        <v>510</v>
      </c>
      <c r="D60" s="170">
        <v>960</v>
      </c>
      <c r="E60" s="131">
        <v>921</v>
      </c>
      <c r="F60" s="131">
        <v>612</v>
      </c>
      <c r="G60" s="132">
        <v>0.6644951140065146</v>
      </c>
      <c r="H60" s="50"/>
    </row>
    <row r="61" spans="2:8" ht="36" customHeight="1" thickBot="1">
      <c r="B61" s="418" t="s">
        <v>586</v>
      </c>
      <c r="C61" s="422"/>
      <c r="D61" s="422"/>
      <c r="E61" s="422"/>
      <c r="F61" s="422"/>
      <c r="G61" s="117"/>
      <c r="H61" s="50"/>
    </row>
    <row r="62" spans="2:7" ht="25.5" customHeight="1" thickBot="1">
      <c r="B62" s="204" t="s">
        <v>279</v>
      </c>
      <c r="C62" s="204"/>
      <c r="D62" s="106"/>
      <c r="E62" s="53"/>
      <c r="F62" s="53"/>
      <c r="G62" s="53"/>
    </row>
    <row r="63" spans="2:8" ht="27" customHeight="1">
      <c r="B63" s="109"/>
      <c r="C63" s="341"/>
      <c r="D63" s="408" t="s">
        <v>24</v>
      </c>
      <c r="E63" s="165" t="s">
        <v>39</v>
      </c>
      <c r="F63" s="163" t="s">
        <v>30</v>
      </c>
      <c r="G63" s="164" t="s">
        <v>31</v>
      </c>
      <c r="H63" s="50"/>
    </row>
    <row r="64" spans="2:8" ht="15" customHeight="1">
      <c r="B64" s="136" t="s">
        <v>280</v>
      </c>
      <c r="C64" s="346"/>
      <c r="D64" s="409"/>
      <c r="E64" s="127">
        <v>77537</v>
      </c>
      <c r="F64" s="128">
        <v>41713</v>
      </c>
      <c r="G64" s="133">
        <v>0.537975418187446</v>
      </c>
      <c r="H64" s="50"/>
    </row>
    <row r="65" spans="2:8" ht="15">
      <c r="B65" s="114" t="s">
        <v>281</v>
      </c>
      <c r="C65" s="356" t="s">
        <v>521</v>
      </c>
      <c r="D65" s="169">
        <v>120</v>
      </c>
      <c r="E65" s="131">
        <v>16528</v>
      </c>
      <c r="F65" s="131">
        <v>6298</v>
      </c>
      <c r="G65" s="132">
        <v>0.3810503388189739</v>
      </c>
      <c r="H65" s="50"/>
    </row>
    <row r="66" spans="2:8" ht="15">
      <c r="B66" s="115" t="s">
        <v>282</v>
      </c>
      <c r="C66" s="356" t="s">
        <v>527</v>
      </c>
      <c r="D66" s="170">
        <v>180</v>
      </c>
      <c r="E66" s="131">
        <v>11351</v>
      </c>
      <c r="F66" s="131">
        <v>3799</v>
      </c>
      <c r="G66" s="132">
        <v>0.33468416879570084</v>
      </c>
      <c r="H66" s="50"/>
    </row>
    <row r="67" spans="2:8" ht="15">
      <c r="B67" s="115" t="s">
        <v>330</v>
      </c>
      <c r="C67" s="356" t="s">
        <v>526</v>
      </c>
      <c r="D67" s="170">
        <v>190</v>
      </c>
      <c r="E67" s="131">
        <v>49658</v>
      </c>
      <c r="F67" s="131">
        <v>31616</v>
      </c>
      <c r="G67" s="132">
        <v>0.6366748560151436</v>
      </c>
      <c r="H67" s="50"/>
    </row>
    <row r="68" spans="2:8" ht="51.75" customHeight="1" thickBot="1">
      <c r="B68" s="418" t="s">
        <v>224</v>
      </c>
      <c r="C68" s="419"/>
      <c r="D68" s="419"/>
      <c r="E68" s="419"/>
      <c r="F68" s="419"/>
      <c r="G68" s="117"/>
      <c r="H68" s="50"/>
    </row>
    <row r="69" spans="2:7" ht="24" customHeight="1" thickBot="1">
      <c r="B69" s="105"/>
      <c r="C69" s="105"/>
      <c r="D69" s="106"/>
      <c r="E69" s="53"/>
      <c r="F69" s="53"/>
      <c r="G69" s="53"/>
    </row>
    <row r="70" spans="2:8" ht="27" customHeight="1">
      <c r="B70" s="116"/>
      <c r="C70" s="345"/>
      <c r="D70" s="408" t="s">
        <v>24</v>
      </c>
      <c r="E70" s="162" t="s">
        <v>39</v>
      </c>
      <c r="F70" s="163" t="s">
        <v>30</v>
      </c>
      <c r="G70" s="164" t="s">
        <v>31</v>
      </c>
      <c r="H70" s="50"/>
    </row>
    <row r="71" spans="2:8" ht="15.75" customHeight="1">
      <c r="B71" s="136" t="s">
        <v>213</v>
      </c>
      <c r="C71" s="346"/>
      <c r="D71" s="409"/>
      <c r="E71" s="127">
        <v>95448</v>
      </c>
      <c r="F71" s="128">
        <v>57803</v>
      </c>
      <c r="G71" s="133">
        <v>0.6055967647305339</v>
      </c>
      <c r="H71" s="50"/>
    </row>
    <row r="72" spans="2:8" ht="15">
      <c r="B72" s="115" t="s">
        <v>216</v>
      </c>
      <c r="C72" s="356" t="s">
        <v>517</v>
      </c>
      <c r="D72" s="170">
        <v>135</v>
      </c>
      <c r="E72" s="131">
        <v>1817</v>
      </c>
      <c r="F72" s="131">
        <v>658</v>
      </c>
      <c r="G72" s="132">
        <v>0.3621353880022014</v>
      </c>
      <c r="H72" s="50"/>
    </row>
    <row r="73" spans="2:8" ht="15" customHeight="1">
      <c r="B73" s="115" t="s">
        <v>214</v>
      </c>
      <c r="C73" s="356" t="s">
        <v>499</v>
      </c>
      <c r="D73" s="170">
        <v>137</v>
      </c>
      <c r="E73" s="131">
        <v>10532</v>
      </c>
      <c r="F73" s="131">
        <v>6368</v>
      </c>
      <c r="G73" s="132">
        <v>0.604633497911128</v>
      </c>
      <c r="H73" s="50"/>
    </row>
    <row r="74" spans="2:8" ht="15">
      <c r="B74" s="115" t="s">
        <v>225</v>
      </c>
      <c r="C74" s="356" t="s">
        <v>519</v>
      </c>
      <c r="D74" s="170">
        <v>150</v>
      </c>
      <c r="E74" s="131">
        <v>41033</v>
      </c>
      <c r="F74" s="131">
        <v>29588</v>
      </c>
      <c r="G74" s="132">
        <v>0.7210781566056589</v>
      </c>
      <c r="H74" s="50"/>
    </row>
    <row r="75" spans="2:8" ht="15">
      <c r="B75" s="115" t="s">
        <v>226</v>
      </c>
      <c r="C75" s="356" t="s">
        <v>514</v>
      </c>
      <c r="D75" s="170">
        <v>155</v>
      </c>
      <c r="E75" s="131">
        <v>1036</v>
      </c>
      <c r="F75" s="131">
        <v>1002</v>
      </c>
      <c r="G75" s="132">
        <v>0.9671814671814671</v>
      </c>
      <c r="H75" s="50"/>
    </row>
    <row r="76" spans="2:8" ht="15">
      <c r="B76" s="115" t="s">
        <v>217</v>
      </c>
      <c r="C76" s="356" t="s">
        <v>500</v>
      </c>
      <c r="D76" s="170">
        <v>297</v>
      </c>
      <c r="E76" s="131">
        <v>19741</v>
      </c>
      <c r="F76" s="131">
        <v>11587</v>
      </c>
      <c r="G76" s="132">
        <v>0.5869510156527025</v>
      </c>
      <c r="H76" s="50"/>
    </row>
    <row r="77" spans="2:8" ht="15">
      <c r="B77" s="115" t="s">
        <v>219</v>
      </c>
      <c r="C77" s="356" t="s">
        <v>559</v>
      </c>
      <c r="D77" s="170">
        <v>607</v>
      </c>
      <c r="E77" s="131">
        <v>21289</v>
      </c>
      <c r="F77" s="131">
        <v>8600</v>
      </c>
      <c r="G77" s="132">
        <v>0.4039644887030861</v>
      </c>
      <c r="H77" s="50"/>
    </row>
    <row r="78" spans="2:8" ht="40.5" customHeight="1" thickBot="1">
      <c r="B78" s="418" t="s">
        <v>587</v>
      </c>
      <c r="C78" s="419"/>
      <c r="D78" s="419"/>
      <c r="E78" s="419"/>
      <c r="F78" s="181"/>
      <c r="G78" s="192"/>
      <c r="H78" s="50"/>
    </row>
    <row r="79" spans="2:7" ht="15.75" thickBot="1">
      <c r="B79" s="105"/>
      <c r="C79" s="105"/>
      <c r="D79" s="106"/>
      <c r="E79" s="53"/>
      <c r="F79" s="53"/>
      <c r="G79" s="53"/>
    </row>
    <row r="80" spans="2:8" ht="27" customHeight="1">
      <c r="B80" s="116"/>
      <c r="C80" s="345"/>
      <c r="D80" s="408" t="s">
        <v>24</v>
      </c>
      <c r="E80" s="162" t="s">
        <v>39</v>
      </c>
      <c r="F80" s="163" t="s">
        <v>30</v>
      </c>
      <c r="G80" s="164" t="s">
        <v>31</v>
      </c>
      <c r="H80" s="50"/>
    </row>
    <row r="81" spans="2:8" ht="15.75" customHeight="1">
      <c r="B81" s="136" t="s">
        <v>220</v>
      </c>
      <c r="C81" s="346"/>
      <c r="D81" s="409"/>
      <c r="E81" s="127">
        <v>72201</v>
      </c>
      <c r="F81" s="128">
        <v>26893</v>
      </c>
      <c r="G81" s="133">
        <v>0.37247406545615713</v>
      </c>
      <c r="H81" s="50"/>
    </row>
    <row r="82" spans="2:8" ht="15" customHeight="1">
      <c r="B82" s="115" t="s">
        <v>227</v>
      </c>
      <c r="C82" s="356" t="s">
        <v>560</v>
      </c>
      <c r="D82" s="169">
        <v>154</v>
      </c>
      <c r="E82" s="131">
        <v>70766</v>
      </c>
      <c r="F82" s="131">
        <v>25963</v>
      </c>
      <c r="G82" s="132">
        <v>0.36688522736907553</v>
      </c>
      <c r="H82" s="50"/>
    </row>
    <row r="83" spans="2:8" ht="15" hidden="1">
      <c r="B83" s="115" t="s">
        <v>228</v>
      </c>
      <c r="C83" s="344"/>
      <c r="D83" s="170" t="s">
        <v>229</v>
      </c>
      <c r="E83" s="131" t="s">
        <v>594</v>
      </c>
      <c r="F83" s="131" t="s">
        <v>594</v>
      </c>
      <c r="G83" s="132" t="e">
        <v>#DIV/0!</v>
      </c>
      <c r="H83" s="50"/>
    </row>
    <row r="84" spans="2:8" ht="15">
      <c r="B84" s="115" t="s">
        <v>230</v>
      </c>
      <c r="C84" s="356" t="s">
        <v>512</v>
      </c>
      <c r="D84" s="170">
        <v>696</v>
      </c>
      <c r="E84" s="131">
        <v>109</v>
      </c>
      <c r="F84" s="131">
        <v>99</v>
      </c>
      <c r="G84" s="132">
        <v>0.908256880733945</v>
      </c>
      <c r="H84" s="50"/>
    </row>
    <row r="85" spans="2:8" ht="15">
      <c r="B85" s="115" t="s">
        <v>231</v>
      </c>
      <c r="C85" s="356" t="s">
        <v>529</v>
      </c>
      <c r="D85" s="170">
        <v>697</v>
      </c>
      <c r="E85" s="131">
        <v>1326</v>
      </c>
      <c r="F85" s="131">
        <v>831</v>
      </c>
      <c r="G85" s="132">
        <v>0.6266968325791855</v>
      </c>
      <c r="H85" s="50"/>
    </row>
    <row r="86" spans="2:8" ht="69" customHeight="1" thickBot="1">
      <c r="B86" s="418" t="s">
        <v>0</v>
      </c>
      <c r="C86" s="419"/>
      <c r="D86" s="419"/>
      <c r="E86" s="419"/>
      <c r="F86" s="181"/>
      <c r="G86" s="117"/>
      <c r="H86" s="50"/>
    </row>
    <row r="87" spans="2:7" ht="15.75" thickBot="1">
      <c r="B87" s="105"/>
      <c r="C87" s="105"/>
      <c r="D87" s="106"/>
      <c r="E87" s="53"/>
      <c r="F87" s="53"/>
      <c r="G87" s="53"/>
    </row>
    <row r="88" spans="2:8" ht="27" customHeight="1">
      <c r="B88" s="116"/>
      <c r="C88" s="345"/>
      <c r="D88" s="408" t="s">
        <v>24</v>
      </c>
      <c r="E88" s="162" t="s">
        <v>39</v>
      </c>
      <c r="F88" s="163" t="s">
        <v>30</v>
      </c>
      <c r="G88" s="164" t="s">
        <v>31</v>
      </c>
      <c r="H88" s="50"/>
    </row>
    <row r="89" spans="2:8" ht="15" customHeight="1">
      <c r="B89" s="136" t="s">
        <v>175</v>
      </c>
      <c r="C89" s="346"/>
      <c r="D89" s="409"/>
      <c r="E89" s="127">
        <v>13504</v>
      </c>
      <c r="F89" s="127">
        <v>7665</v>
      </c>
      <c r="G89" s="133">
        <v>0.5676095971563981</v>
      </c>
      <c r="H89" s="50"/>
    </row>
    <row r="90" spans="2:8" ht="15">
      <c r="B90" s="115" t="s">
        <v>274</v>
      </c>
      <c r="C90" s="356" t="s">
        <v>502</v>
      </c>
      <c r="D90" s="169">
        <v>407</v>
      </c>
      <c r="E90" s="131">
        <v>9143</v>
      </c>
      <c r="F90" s="131">
        <v>5562</v>
      </c>
      <c r="G90" s="132">
        <v>0.6083342447774254</v>
      </c>
      <c r="H90" s="50"/>
    </row>
    <row r="91" spans="2:8" ht="15">
      <c r="B91" s="115" t="s">
        <v>232</v>
      </c>
      <c r="C91" s="356" t="s">
        <v>504</v>
      </c>
      <c r="D91" s="170">
        <v>507</v>
      </c>
      <c r="E91" s="131">
        <v>1822</v>
      </c>
      <c r="F91" s="131">
        <v>68</v>
      </c>
      <c r="G91" s="132">
        <v>0.03732162458836443</v>
      </c>
      <c r="H91" s="50"/>
    </row>
    <row r="92" spans="2:8" ht="15">
      <c r="B92" s="115" t="s">
        <v>233</v>
      </c>
      <c r="C92" s="356" t="s">
        <v>558</v>
      </c>
      <c r="D92" s="170">
        <v>937</v>
      </c>
      <c r="E92" s="131">
        <v>2539</v>
      </c>
      <c r="F92" s="131">
        <v>2035</v>
      </c>
      <c r="G92" s="132">
        <v>0.8014966522252855</v>
      </c>
      <c r="H92" s="50"/>
    </row>
    <row r="93" spans="2:8" ht="35.25" customHeight="1" thickBot="1">
      <c r="B93" s="418" t="s">
        <v>586</v>
      </c>
      <c r="C93" s="419"/>
      <c r="D93" s="419"/>
      <c r="E93" s="419"/>
      <c r="F93" s="419"/>
      <c r="G93" s="117"/>
      <c r="H93" s="50"/>
    </row>
    <row r="94" spans="1:8" ht="18" customHeight="1" thickBot="1">
      <c r="A94" s="205"/>
      <c r="B94" s="206"/>
      <c r="C94" s="206"/>
      <c r="D94" s="207"/>
      <c r="E94" s="208"/>
      <c r="F94" s="208"/>
      <c r="G94" s="208"/>
      <c r="H94" s="209"/>
    </row>
    <row r="95" spans="2:7" ht="31.5" customHeight="1" thickBot="1">
      <c r="B95" s="417" t="s">
        <v>348</v>
      </c>
      <c r="C95" s="417"/>
      <c r="D95" s="417"/>
      <c r="E95" s="417"/>
      <c r="F95" s="53"/>
      <c r="G95" s="53"/>
    </row>
    <row r="96" spans="2:7" ht="18.75" customHeight="1">
      <c r="B96" s="425" t="s">
        <v>234</v>
      </c>
      <c r="C96" s="347"/>
      <c r="D96" s="166" t="s">
        <v>24</v>
      </c>
      <c r="E96" s="161" t="s">
        <v>39</v>
      </c>
      <c r="F96" s="61"/>
      <c r="G96" s="61"/>
    </row>
    <row r="97" spans="2:7" ht="15.75" customHeight="1">
      <c r="B97" s="426"/>
      <c r="C97" s="356" t="s">
        <v>234</v>
      </c>
      <c r="D97" s="167">
        <v>160</v>
      </c>
      <c r="E97" s="128">
        <v>63979</v>
      </c>
      <c r="F97" s="64"/>
      <c r="G97" s="62"/>
    </row>
    <row r="98" spans="2:7" ht="76.5" customHeight="1" thickBot="1">
      <c r="B98" s="418" t="s">
        <v>588</v>
      </c>
      <c r="C98" s="419"/>
      <c r="D98" s="419"/>
      <c r="E98" s="424"/>
      <c r="F98" s="104"/>
      <c r="G98" s="105"/>
    </row>
    <row r="99" spans="2:7" ht="15.75" thickBot="1">
      <c r="B99" s="105"/>
      <c r="C99" s="105"/>
      <c r="D99" s="106"/>
      <c r="E99" s="53"/>
      <c r="F99" s="53"/>
      <c r="G99" s="53"/>
    </row>
    <row r="100" spans="2:11" ht="20.25" customHeight="1">
      <c r="B100" s="427" t="s">
        <v>27</v>
      </c>
      <c r="C100" s="348"/>
      <c r="D100" s="166" t="s">
        <v>24</v>
      </c>
      <c r="E100" s="161" t="s">
        <v>39</v>
      </c>
      <c r="F100" s="61"/>
      <c r="G100" s="61"/>
      <c r="J100" s="118"/>
      <c r="K100" s="118"/>
    </row>
    <row r="101" spans="2:11" ht="15">
      <c r="B101" s="428"/>
      <c r="C101" s="356" t="s">
        <v>27</v>
      </c>
      <c r="D101" s="167">
        <v>165</v>
      </c>
      <c r="E101" s="128">
        <v>13098</v>
      </c>
      <c r="F101" s="64"/>
      <c r="G101" s="62"/>
      <c r="J101" s="118"/>
      <c r="K101" s="118"/>
    </row>
    <row r="102" spans="2:11" ht="36.75" customHeight="1" thickBot="1">
      <c r="B102" s="418" t="s">
        <v>21</v>
      </c>
      <c r="C102" s="419"/>
      <c r="D102" s="419"/>
      <c r="E102" s="424"/>
      <c r="F102" s="104"/>
      <c r="G102" s="105"/>
      <c r="J102" s="118"/>
      <c r="K102" s="118"/>
    </row>
    <row r="103" spans="4:11" ht="15.75" thickBot="1">
      <c r="D103" s="106"/>
      <c r="E103" s="53"/>
      <c r="F103" s="53"/>
      <c r="G103" s="53"/>
      <c r="J103" s="118"/>
      <c r="K103" s="118"/>
    </row>
    <row r="104" spans="2:11" ht="19.5" customHeight="1">
      <c r="B104" s="109" t="s">
        <v>5</v>
      </c>
      <c r="C104" s="341"/>
      <c r="D104" s="166" t="s">
        <v>24</v>
      </c>
      <c r="E104" s="160" t="s">
        <v>39</v>
      </c>
      <c r="F104" s="61"/>
      <c r="G104" s="61"/>
      <c r="J104" s="118"/>
      <c r="K104" s="118"/>
    </row>
    <row r="105" spans="2:7" ht="16.5" customHeight="1">
      <c r="B105" s="291" t="s">
        <v>595</v>
      </c>
      <c r="C105" s="349"/>
      <c r="D105" s="168" t="s">
        <v>184</v>
      </c>
      <c r="E105" s="135">
        <v>252779</v>
      </c>
      <c r="F105" s="65"/>
      <c r="G105" s="63"/>
    </row>
    <row r="106" spans="2:8" ht="36" customHeight="1" thickBot="1">
      <c r="B106" s="418" t="s">
        <v>589</v>
      </c>
      <c r="C106" s="419"/>
      <c r="D106" s="419"/>
      <c r="E106" s="424"/>
      <c r="F106" s="104"/>
      <c r="G106" s="105"/>
      <c r="H106" s="60"/>
    </row>
    <row r="107" spans="2:7" ht="14.25" customHeight="1" thickBot="1">
      <c r="B107" s="105"/>
      <c r="C107" s="105"/>
      <c r="D107" s="106"/>
      <c r="E107" s="56"/>
      <c r="F107" s="56"/>
      <c r="G107" s="56"/>
    </row>
    <row r="108" spans="2:11" ht="18.75" customHeight="1">
      <c r="B108" s="109" t="s">
        <v>332</v>
      </c>
      <c r="C108" s="341"/>
      <c r="D108" s="166" t="s">
        <v>345</v>
      </c>
      <c r="E108" s="160" t="s">
        <v>39</v>
      </c>
      <c r="F108" s="61"/>
      <c r="G108" s="61"/>
      <c r="J108" s="118"/>
      <c r="K108" s="118"/>
    </row>
    <row r="109" spans="2:7" ht="13.5" customHeight="1">
      <c r="B109" s="220"/>
      <c r="C109" s="350"/>
      <c r="D109" s="168" t="s">
        <v>347</v>
      </c>
      <c r="E109" s="135">
        <v>18004</v>
      </c>
      <c r="F109" s="65"/>
      <c r="G109" s="63"/>
    </row>
    <row r="110" spans="2:7" ht="15" customHeight="1">
      <c r="B110" s="159"/>
      <c r="C110" s="351"/>
      <c r="D110" s="168" t="s">
        <v>346</v>
      </c>
      <c r="E110" s="135">
        <v>144463</v>
      </c>
      <c r="F110" s="65"/>
      <c r="G110" s="63"/>
    </row>
    <row r="111" spans="2:8" ht="39.75" customHeight="1" thickBot="1">
      <c r="B111" s="418" t="s">
        <v>355</v>
      </c>
      <c r="C111" s="419"/>
      <c r="D111" s="419"/>
      <c r="E111" s="424"/>
      <c r="F111" s="104"/>
      <c r="G111" s="105"/>
      <c r="H111" s="60"/>
    </row>
    <row r="112" ht="3.75" customHeight="1"/>
    <row r="113" spans="2:5" ht="32.25" customHeight="1">
      <c r="B113" s="423"/>
      <c r="C113" s="423"/>
      <c r="D113" s="423"/>
      <c r="E113" s="423"/>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0" t="s">
        <v>350</v>
      </c>
      <c r="D1" s="431"/>
      <c r="E1" s="431"/>
      <c r="F1" s="431"/>
      <c r="G1" s="431"/>
      <c r="H1" s="431"/>
      <c r="I1" s="431"/>
      <c r="J1" s="431"/>
      <c r="K1" s="431"/>
      <c r="L1" s="431"/>
      <c r="M1" s="431"/>
      <c r="N1" s="431"/>
      <c r="O1" s="431"/>
      <c r="P1" s="431"/>
      <c r="Q1" s="431"/>
    </row>
    <row r="2" spans="3:17" ht="15.75" customHeight="1">
      <c r="C2" s="438">
        <v>41272</v>
      </c>
      <c r="D2" s="439"/>
      <c r="E2" s="439"/>
      <c r="F2" s="439"/>
      <c r="G2" s="439"/>
      <c r="H2" s="439"/>
      <c r="I2" s="439"/>
      <c r="J2" s="439"/>
      <c r="K2" s="439"/>
      <c r="L2" s="439"/>
      <c r="M2" s="439"/>
      <c r="N2" s="439"/>
      <c r="O2" s="439"/>
      <c r="P2" s="439"/>
      <c r="Q2" s="439"/>
    </row>
    <row r="3" spans="3:5" ht="12.75">
      <c r="C3" s="432" t="s">
        <v>172</v>
      </c>
      <c r="D3" s="433"/>
      <c r="E3" s="434"/>
    </row>
    <row r="4" spans="3:17" ht="51">
      <c r="C4" s="78" t="s">
        <v>179</v>
      </c>
      <c r="D4" s="78" t="s">
        <v>32</v>
      </c>
      <c r="E4" s="71" t="s">
        <v>33</v>
      </c>
      <c r="F4" s="435" t="s">
        <v>6</v>
      </c>
      <c r="G4" s="436"/>
      <c r="H4" s="436"/>
      <c r="I4" s="436"/>
      <c r="J4" s="436"/>
      <c r="K4" s="436"/>
      <c r="L4" s="436"/>
      <c r="M4" s="436"/>
      <c r="N4" s="436"/>
      <c r="O4" s="436"/>
      <c r="P4" s="436"/>
      <c r="Q4" s="436"/>
    </row>
    <row r="5" spans="2:5" ht="12.75">
      <c r="B5" s="72" t="s">
        <v>69</v>
      </c>
      <c r="C5" s="73">
        <v>900677</v>
      </c>
      <c r="D5" s="73">
        <v>616551</v>
      </c>
      <c r="E5" s="74">
        <v>0.6845417391584331</v>
      </c>
    </row>
    <row r="6" ht="7.5" customHeight="1"/>
    <row r="7" spans="3:17" ht="26.25">
      <c r="C7" s="437" t="s">
        <v>262</v>
      </c>
      <c r="D7" s="437"/>
      <c r="E7" s="437"/>
      <c r="F7" s="437"/>
      <c r="G7" s="437"/>
      <c r="H7" s="437"/>
      <c r="I7" s="437"/>
      <c r="J7" s="437"/>
      <c r="K7" s="437"/>
      <c r="L7" s="437"/>
      <c r="M7" s="437"/>
      <c r="N7" s="437"/>
      <c r="O7" s="437"/>
      <c r="P7" s="437"/>
      <c r="Q7" s="437"/>
    </row>
    <row r="8" spans="3:17" ht="12.75">
      <c r="C8" s="432" t="s">
        <v>388</v>
      </c>
      <c r="D8" s="433"/>
      <c r="E8" s="434"/>
      <c r="F8" s="432" t="s">
        <v>173</v>
      </c>
      <c r="G8" s="433"/>
      <c r="H8" s="434"/>
      <c r="I8" s="432" t="s">
        <v>391</v>
      </c>
      <c r="J8" s="433"/>
      <c r="K8" s="434"/>
      <c r="L8" s="432" t="s">
        <v>175</v>
      </c>
      <c r="M8" s="433"/>
      <c r="N8" s="43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823140</v>
      </c>
      <c r="D10" s="216">
        <v>574838</v>
      </c>
      <c r="E10" s="217">
        <v>0.6983477901693516</v>
      </c>
      <c r="F10" s="216">
        <v>301568</v>
      </c>
      <c r="G10" s="216">
        <v>198871</v>
      </c>
      <c r="H10" s="217">
        <v>0.6594565736417657</v>
      </c>
      <c r="I10" s="216">
        <v>71567</v>
      </c>
      <c r="J10" s="216">
        <v>36765</v>
      </c>
      <c r="K10" s="217">
        <v>0.5137144214512275</v>
      </c>
      <c r="L10" s="216">
        <v>86414</v>
      </c>
      <c r="M10" s="216">
        <v>58312</v>
      </c>
      <c r="N10" s="217">
        <v>0.6747980651283357</v>
      </c>
      <c r="O10" s="216">
        <v>44125</v>
      </c>
      <c r="P10" s="216">
        <v>1169</v>
      </c>
      <c r="Q10" s="218">
        <v>250570</v>
      </c>
    </row>
    <row r="11" spans="2:17" ht="12.75">
      <c r="B11" s="82" t="s">
        <v>263</v>
      </c>
      <c r="C11" s="83">
        <v>166098</v>
      </c>
      <c r="D11" s="83">
        <v>117990</v>
      </c>
      <c r="E11" s="84">
        <v>0.7103637611530542</v>
      </c>
      <c r="F11" s="83">
        <v>55075</v>
      </c>
      <c r="G11" s="83">
        <v>37651</v>
      </c>
      <c r="H11" s="84">
        <v>0.6836314117113028</v>
      </c>
      <c r="I11" s="83">
        <v>18490</v>
      </c>
      <c r="J11" s="83">
        <v>7631</v>
      </c>
      <c r="K11" s="84">
        <v>0.4127095727420227</v>
      </c>
      <c r="L11" s="83">
        <v>17345</v>
      </c>
      <c r="M11" s="83">
        <v>12561</v>
      </c>
      <c r="N11" s="84">
        <v>0.7241856442778899</v>
      </c>
      <c r="O11" s="83">
        <v>18055</v>
      </c>
      <c r="P11" s="187">
        <v>185</v>
      </c>
      <c r="Q11" s="182">
        <v>43047</v>
      </c>
    </row>
    <row r="12" spans="2:17" ht="12.75">
      <c r="B12" s="85" t="s">
        <v>185</v>
      </c>
      <c r="C12" s="86">
        <v>20055</v>
      </c>
      <c r="D12" s="86">
        <v>16729</v>
      </c>
      <c r="E12" s="87">
        <v>0.8341560708052854</v>
      </c>
      <c r="F12" s="86">
        <v>5790</v>
      </c>
      <c r="G12" s="86">
        <v>4772</v>
      </c>
      <c r="H12" s="87">
        <v>0.8241796200345423</v>
      </c>
      <c r="I12" s="86">
        <v>909</v>
      </c>
      <c r="J12" s="86">
        <v>453</v>
      </c>
      <c r="K12" s="87">
        <v>0.49834983498349833</v>
      </c>
      <c r="L12" s="86">
        <v>2341</v>
      </c>
      <c r="M12" s="86">
        <v>1764</v>
      </c>
      <c r="N12" s="87">
        <v>0.7535241349850491</v>
      </c>
      <c r="O12" s="86">
        <v>1</v>
      </c>
      <c r="P12" s="185">
        <v>4</v>
      </c>
      <c r="Q12" s="183">
        <v>3454</v>
      </c>
    </row>
    <row r="13" spans="2:17" ht="12.75">
      <c r="B13" s="85" t="s">
        <v>186</v>
      </c>
      <c r="C13" s="86">
        <v>11449</v>
      </c>
      <c r="D13" s="86">
        <v>9066</v>
      </c>
      <c r="E13" s="87">
        <v>0.7918595510524936</v>
      </c>
      <c r="F13" s="86">
        <v>4287</v>
      </c>
      <c r="G13" s="86">
        <v>3163</v>
      </c>
      <c r="H13" s="87">
        <v>0.7378119897364124</v>
      </c>
      <c r="I13" s="86">
        <v>1457</v>
      </c>
      <c r="J13" s="86">
        <v>688</v>
      </c>
      <c r="K13" s="87">
        <v>0.4722031571722718</v>
      </c>
      <c r="L13" s="86">
        <v>796</v>
      </c>
      <c r="M13" s="86">
        <v>616</v>
      </c>
      <c r="N13" s="87">
        <v>0.7738693467336684</v>
      </c>
      <c r="O13" s="86">
        <v>0</v>
      </c>
      <c r="P13" s="185">
        <v>1</v>
      </c>
      <c r="Q13" s="183">
        <v>4090</v>
      </c>
    </row>
    <row r="14" spans="2:17" ht="12.75">
      <c r="B14" s="85" t="s">
        <v>187</v>
      </c>
      <c r="C14" s="86">
        <v>8229</v>
      </c>
      <c r="D14" s="86">
        <v>5167</v>
      </c>
      <c r="E14" s="87">
        <v>0.627901324583789</v>
      </c>
      <c r="F14" s="86">
        <v>3802</v>
      </c>
      <c r="G14" s="86">
        <v>2387</v>
      </c>
      <c r="H14" s="87">
        <v>0.6278274592319831</v>
      </c>
      <c r="I14" s="86">
        <v>374</v>
      </c>
      <c r="J14" s="86">
        <v>126</v>
      </c>
      <c r="K14" s="87">
        <v>0.33689839572192515</v>
      </c>
      <c r="L14" s="86">
        <v>585</v>
      </c>
      <c r="M14" s="86">
        <v>386</v>
      </c>
      <c r="N14" s="87">
        <v>0.6598290598290598</v>
      </c>
      <c r="O14" s="86">
        <v>0</v>
      </c>
      <c r="P14" s="185">
        <v>1</v>
      </c>
      <c r="Q14" s="183">
        <v>1163</v>
      </c>
    </row>
    <row r="15" spans="2:17" ht="12.75">
      <c r="B15" s="85" t="s">
        <v>188</v>
      </c>
      <c r="C15" s="86">
        <v>24009</v>
      </c>
      <c r="D15" s="86">
        <v>17987</v>
      </c>
      <c r="E15" s="87">
        <v>0.7491773918114041</v>
      </c>
      <c r="F15" s="86">
        <v>6946</v>
      </c>
      <c r="G15" s="86">
        <v>4762</v>
      </c>
      <c r="H15" s="87">
        <v>0.6855744313273827</v>
      </c>
      <c r="I15" s="86">
        <v>2188</v>
      </c>
      <c r="J15" s="86">
        <v>1150</v>
      </c>
      <c r="K15" s="87">
        <v>0.5255941499085923</v>
      </c>
      <c r="L15" s="86">
        <v>2201</v>
      </c>
      <c r="M15" s="86">
        <v>1448</v>
      </c>
      <c r="N15" s="87">
        <v>0.6578827805542935</v>
      </c>
      <c r="O15" s="86">
        <v>12</v>
      </c>
      <c r="P15" s="185">
        <v>77</v>
      </c>
      <c r="Q15" s="183">
        <v>8226</v>
      </c>
    </row>
    <row r="16" spans="2:17" ht="12.75">
      <c r="B16" s="85" t="s">
        <v>189</v>
      </c>
      <c r="C16" s="86">
        <v>16922</v>
      </c>
      <c r="D16" s="86">
        <v>10411</v>
      </c>
      <c r="E16" s="87">
        <v>0.6152346058385534</v>
      </c>
      <c r="F16" s="86">
        <v>5358</v>
      </c>
      <c r="G16" s="86">
        <v>3364</v>
      </c>
      <c r="H16" s="87">
        <v>0.627846211272863</v>
      </c>
      <c r="I16" s="86">
        <v>2041</v>
      </c>
      <c r="J16" s="86">
        <v>334</v>
      </c>
      <c r="K16" s="87">
        <v>0.1636452719255267</v>
      </c>
      <c r="L16" s="86">
        <v>2465</v>
      </c>
      <c r="M16" s="86">
        <v>1798</v>
      </c>
      <c r="N16" s="87">
        <v>0.7294117647058823</v>
      </c>
      <c r="O16" s="86">
        <v>5</v>
      </c>
      <c r="P16" s="185">
        <v>27</v>
      </c>
      <c r="Q16" s="183">
        <v>5792</v>
      </c>
    </row>
    <row r="17" spans="2:17" ht="12.75">
      <c r="B17" s="85" t="s">
        <v>190</v>
      </c>
      <c r="C17" s="86">
        <v>2955</v>
      </c>
      <c r="D17" s="86">
        <v>1436</v>
      </c>
      <c r="E17" s="87">
        <v>0.4859560067681895</v>
      </c>
      <c r="F17" s="86">
        <v>1222</v>
      </c>
      <c r="G17" s="86">
        <v>492</v>
      </c>
      <c r="H17" s="87">
        <v>0.4026186579378069</v>
      </c>
      <c r="I17" s="86">
        <v>179</v>
      </c>
      <c r="J17" s="86">
        <v>7</v>
      </c>
      <c r="K17" s="87">
        <v>0.03910614525139665</v>
      </c>
      <c r="L17" s="86">
        <v>139</v>
      </c>
      <c r="M17" s="86">
        <v>78</v>
      </c>
      <c r="N17" s="87">
        <v>0.5611510791366906</v>
      </c>
      <c r="O17" s="86">
        <v>1</v>
      </c>
      <c r="P17" s="185" t="s">
        <v>594</v>
      </c>
      <c r="Q17" s="183">
        <v>771</v>
      </c>
    </row>
    <row r="18" spans="2:17" ht="12.75">
      <c r="B18" s="85" t="s">
        <v>191</v>
      </c>
      <c r="C18" s="86">
        <v>18598</v>
      </c>
      <c r="D18" s="86">
        <v>14812</v>
      </c>
      <c r="E18" s="87">
        <v>0.7964297236261964</v>
      </c>
      <c r="F18" s="86">
        <v>5784</v>
      </c>
      <c r="G18" s="86">
        <v>4455</v>
      </c>
      <c r="H18" s="87">
        <v>0.7702282157676349</v>
      </c>
      <c r="I18" s="86">
        <v>685</v>
      </c>
      <c r="J18" s="86">
        <v>381</v>
      </c>
      <c r="K18" s="87">
        <v>0.5562043795620438</v>
      </c>
      <c r="L18" s="86">
        <v>1803</v>
      </c>
      <c r="M18" s="86">
        <v>1467</v>
      </c>
      <c r="N18" s="87">
        <v>0.8136439267886856</v>
      </c>
      <c r="O18" s="86">
        <v>7</v>
      </c>
      <c r="P18" s="185">
        <v>70</v>
      </c>
      <c r="Q18" s="183">
        <v>4557</v>
      </c>
    </row>
    <row r="19" spans="2:17" ht="12.75">
      <c r="B19" s="85" t="s">
        <v>192</v>
      </c>
      <c r="C19" s="86">
        <v>2126</v>
      </c>
      <c r="D19" s="86">
        <v>1379</v>
      </c>
      <c r="E19" s="87">
        <v>0.6486359360301035</v>
      </c>
      <c r="F19" s="86">
        <v>1101</v>
      </c>
      <c r="G19" s="86">
        <v>616</v>
      </c>
      <c r="H19" s="87">
        <v>0.5594913714804723</v>
      </c>
      <c r="I19" s="86">
        <v>222</v>
      </c>
      <c r="J19" s="86">
        <v>74</v>
      </c>
      <c r="K19" s="87">
        <v>0.3333333333333333</v>
      </c>
      <c r="L19" s="86">
        <v>176</v>
      </c>
      <c r="M19" s="86">
        <v>109</v>
      </c>
      <c r="N19" s="87">
        <v>0.6193181818181818</v>
      </c>
      <c r="O19" s="86">
        <v>1</v>
      </c>
      <c r="P19" s="185" t="s">
        <v>594</v>
      </c>
      <c r="Q19" s="183">
        <v>741</v>
      </c>
    </row>
    <row r="20" spans="2:17" ht="12.75">
      <c r="B20" s="85" t="s">
        <v>193</v>
      </c>
      <c r="C20" s="86">
        <v>12792</v>
      </c>
      <c r="D20" s="86">
        <v>10130</v>
      </c>
      <c r="E20" s="87">
        <v>0.7919011882426517</v>
      </c>
      <c r="F20" s="86">
        <v>4666</v>
      </c>
      <c r="G20" s="86">
        <v>2885</v>
      </c>
      <c r="H20" s="87">
        <v>0.6183026146592371</v>
      </c>
      <c r="I20" s="86">
        <v>856</v>
      </c>
      <c r="J20" s="86">
        <v>287</v>
      </c>
      <c r="K20" s="87">
        <v>0.3352803738317757</v>
      </c>
      <c r="L20" s="86">
        <v>701</v>
      </c>
      <c r="M20" s="86">
        <v>563</v>
      </c>
      <c r="N20" s="87">
        <v>0.8031383737517832</v>
      </c>
      <c r="O20" s="86">
        <v>1</v>
      </c>
      <c r="P20" s="185">
        <v>1</v>
      </c>
      <c r="Q20" s="183">
        <v>3853</v>
      </c>
    </row>
    <row r="21" spans="2:17" ht="12.75">
      <c r="B21" s="85" t="s">
        <v>194</v>
      </c>
      <c r="C21" s="86">
        <v>4130</v>
      </c>
      <c r="D21" s="86">
        <v>2460</v>
      </c>
      <c r="E21" s="87">
        <v>0.5956416464891041</v>
      </c>
      <c r="F21" s="86">
        <v>1790</v>
      </c>
      <c r="G21" s="86">
        <v>1041</v>
      </c>
      <c r="H21" s="87">
        <v>0.5815642458100558</v>
      </c>
      <c r="I21" s="86">
        <v>942</v>
      </c>
      <c r="J21" s="86">
        <v>39</v>
      </c>
      <c r="K21" s="87">
        <v>0.041401273885350316</v>
      </c>
      <c r="L21" s="86">
        <v>566</v>
      </c>
      <c r="M21" s="86">
        <v>293</v>
      </c>
      <c r="N21" s="87">
        <v>0.5176678445229682</v>
      </c>
      <c r="O21" s="86">
        <v>0</v>
      </c>
      <c r="P21" s="185">
        <v>2</v>
      </c>
      <c r="Q21" s="183">
        <v>2168</v>
      </c>
    </row>
    <row r="22" spans="2:17" ht="12.75">
      <c r="B22" s="85" t="s">
        <v>195</v>
      </c>
      <c r="C22" s="86">
        <v>23895</v>
      </c>
      <c r="D22" s="86">
        <v>15577</v>
      </c>
      <c r="E22" s="87">
        <v>0.6518937016112157</v>
      </c>
      <c r="F22" s="86">
        <v>5830</v>
      </c>
      <c r="G22" s="86">
        <v>3939</v>
      </c>
      <c r="H22" s="87">
        <v>0.6756432246998285</v>
      </c>
      <c r="I22" s="86">
        <v>6600</v>
      </c>
      <c r="J22" s="86">
        <v>3040</v>
      </c>
      <c r="K22" s="87">
        <v>0.46060606060606063</v>
      </c>
      <c r="L22" s="86">
        <v>3773</v>
      </c>
      <c r="M22" s="86">
        <v>2796</v>
      </c>
      <c r="N22" s="87">
        <v>0.7410548635038431</v>
      </c>
      <c r="O22" s="86">
        <v>18026</v>
      </c>
      <c r="P22" s="185" t="s">
        <v>3</v>
      </c>
      <c r="Q22" s="182">
        <v>3095</v>
      </c>
    </row>
    <row r="23" spans="2:17" ht="12.75">
      <c r="B23" s="85" t="s">
        <v>196</v>
      </c>
      <c r="C23" s="86">
        <v>11583</v>
      </c>
      <c r="D23" s="86">
        <v>8723</v>
      </c>
      <c r="E23" s="87">
        <v>0.7530864197530864</v>
      </c>
      <c r="F23" s="86">
        <v>4501</v>
      </c>
      <c r="G23" s="86">
        <v>3639</v>
      </c>
      <c r="H23" s="87">
        <v>0.808487002888247</v>
      </c>
      <c r="I23" s="86">
        <v>794</v>
      </c>
      <c r="J23" s="86">
        <v>423</v>
      </c>
      <c r="K23" s="87">
        <v>0.5327455919395466</v>
      </c>
      <c r="L23" s="86">
        <v>1052</v>
      </c>
      <c r="M23" s="86">
        <v>735</v>
      </c>
      <c r="N23" s="87">
        <v>0.6986692015209125</v>
      </c>
      <c r="O23" s="86">
        <v>1</v>
      </c>
      <c r="P23" s="185" t="s">
        <v>594</v>
      </c>
      <c r="Q23" s="183">
        <v>2798</v>
      </c>
    </row>
    <row r="24" spans="2:17" ht="12.75">
      <c r="B24" s="85" t="s">
        <v>197</v>
      </c>
      <c r="C24" s="86">
        <v>4391</v>
      </c>
      <c r="D24" s="86">
        <v>1749</v>
      </c>
      <c r="E24" s="87">
        <v>0.3983147346845821</v>
      </c>
      <c r="F24" s="86">
        <v>1092</v>
      </c>
      <c r="G24" s="86">
        <v>383</v>
      </c>
      <c r="H24" s="87">
        <v>0.3507326007326007</v>
      </c>
      <c r="I24" s="86">
        <v>265</v>
      </c>
      <c r="J24" s="86">
        <v>187</v>
      </c>
      <c r="K24" s="87">
        <v>0.7056603773584905</v>
      </c>
      <c r="L24" s="86">
        <v>207</v>
      </c>
      <c r="M24" s="86">
        <v>141</v>
      </c>
      <c r="N24" s="87">
        <v>0.6811594202898551</v>
      </c>
      <c r="O24" s="86">
        <v>0</v>
      </c>
      <c r="P24" s="185">
        <v>1</v>
      </c>
      <c r="Q24" s="183">
        <v>928</v>
      </c>
    </row>
    <row r="25" spans="2:17" ht="12.75">
      <c r="B25" s="85" t="s">
        <v>198</v>
      </c>
      <c r="C25" s="86">
        <v>2807</v>
      </c>
      <c r="D25" s="86">
        <v>1160</v>
      </c>
      <c r="E25" s="87">
        <v>0.4132525828286427</v>
      </c>
      <c r="F25" s="86">
        <v>1830</v>
      </c>
      <c r="G25" s="86">
        <v>1187</v>
      </c>
      <c r="H25" s="87">
        <v>0.6486338797814207</v>
      </c>
      <c r="I25" s="86">
        <v>877</v>
      </c>
      <c r="J25" s="86">
        <v>408</v>
      </c>
      <c r="K25" s="87">
        <v>0.4652223489167617</v>
      </c>
      <c r="L25" s="86">
        <v>165</v>
      </c>
      <c r="M25" s="86">
        <v>105</v>
      </c>
      <c r="N25" s="87">
        <v>0.6363636363636364</v>
      </c>
      <c r="O25" s="86">
        <v>0</v>
      </c>
      <c r="P25" s="185" t="s">
        <v>594</v>
      </c>
      <c r="Q25" s="183">
        <v>519</v>
      </c>
    </row>
    <row r="26" spans="2:17" ht="12.75">
      <c r="B26" s="91" t="s">
        <v>318</v>
      </c>
      <c r="C26" s="86">
        <v>977</v>
      </c>
      <c r="D26" s="86">
        <v>622</v>
      </c>
      <c r="E26" s="87">
        <v>0.6366427840327533</v>
      </c>
      <c r="F26" s="86">
        <v>525</v>
      </c>
      <c r="G26" s="86">
        <v>228</v>
      </c>
      <c r="H26" s="87">
        <v>0.4342857142857143</v>
      </c>
      <c r="I26" s="86">
        <v>39</v>
      </c>
      <c r="J26" s="86">
        <v>30</v>
      </c>
      <c r="K26" s="87">
        <v>0.7692307692307693</v>
      </c>
      <c r="L26" s="86">
        <v>144</v>
      </c>
      <c r="M26" s="86">
        <v>104</v>
      </c>
      <c r="N26" s="87">
        <v>0.7222222222222222</v>
      </c>
      <c r="O26" s="86">
        <v>0</v>
      </c>
      <c r="P26" s="185">
        <v>1</v>
      </c>
      <c r="Q26" s="183">
        <v>335</v>
      </c>
    </row>
    <row r="27" spans="2:17" ht="12.75">
      <c r="B27" s="85" t="s">
        <v>199</v>
      </c>
      <c r="C27" s="88">
        <v>1180</v>
      </c>
      <c r="D27" s="88">
        <v>582</v>
      </c>
      <c r="E27" s="81">
        <v>0.49322033898305084</v>
      </c>
      <c r="F27" s="88">
        <v>551</v>
      </c>
      <c r="G27" s="88">
        <v>338</v>
      </c>
      <c r="H27" s="81">
        <v>0.6134301270417423</v>
      </c>
      <c r="I27" s="88">
        <v>62</v>
      </c>
      <c r="J27" s="88">
        <v>4</v>
      </c>
      <c r="K27" s="81">
        <v>0.06451612903225806</v>
      </c>
      <c r="L27" s="88">
        <v>231</v>
      </c>
      <c r="M27" s="88">
        <v>158</v>
      </c>
      <c r="N27" s="81">
        <v>0.683982683982684</v>
      </c>
      <c r="O27" s="88">
        <v>0</v>
      </c>
      <c r="P27" s="186" t="s">
        <v>594</v>
      </c>
      <c r="Q27" s="184">
        <v>557</v>
      </c>
    </row>
    <row r="28" spans="2:17" ht="12.75">
      <c r="B28" s="82" t="s">
        <v>264</v>
      </c>
      <c r="C28" s="83">
        <v>243998</v>
      </c>
      <c r="D28" s="83">
        <v>163229</v>
      </c>
      <c r="E28" s="84">
        <v>0.6689767948917614</v>
      </c>
      <c r="F28" s="83">
        <v>96342</v>
      </c>
      <c r="G28" s="83">
        <v>64474</v>
      </c>
      <c r="H28" s="84">
        <v>0.6692200701666978</v>
      </c>
      <c r="I28" s="83">
        <v>21026</v>
      </c>
      <c r="J28" s="83">
        <v>11492</v>
      </c>
      <c r="K28" s="84">
        <v>0.5465614001712166</v>
      </c>
      <c r="L28" s="83">
        <v>24569</v>
      </c>
      <c r="M28" s="83">
        <v>14701</v>
      </c>
      <c r="N28" s="84">
        <v>0.5983556514306646</v>
      </c>
      <c r="O28" s="83">
        <v>99</v>
      </c>
      <c r="P28" s="187">
        <v>330</v>
      </c>
      <c r="Q28" s="182">
        <v>89493</v>
      </c>
    </row>
    <row r="29" spans="2:17" ht="12.75">
      <c r="B29" s="85" t="s">
        <v>200</v>
      </c>
      <c r="C29" s="86">
        <v>32247</v>
      </c>
      <c r="D29" s="86">
        <v>21338</v>
      </c>
      <c r="E29" s="87">
        <v>0.6617049648029274</v>
      </c>
      <c r="F29" s="86">
        <v>10997</v>
      </c>
      <c r="G29" s="86">
        <v>7357</v>
      </c>
      <c r="H29" s="87">
        <v>0.6690006365372374</v>
      </c>
      <c r="I29" s="86">
        <v>2079</v>
      </c>
      <c r="J29" s="86">
        <v>403</v>
      </c>
      <c r="K29" s="87">
        <v>0.19384319384319385</v>
      </c>
      <c r="L29" s="86">
        <v>6686</v>
      </c>
      <c r="M29" s="86">
        <v>3440</v>
      </c>
      <c r="N29" s="87">
        <v>0.5145079270116661</v>
      </c>
      <c r="O29" s="86">
        <v>1</v>
      </c>
      <c r="P29" s="185">
        <v>1</v>
      </c>
      <c r="Q29" s="183">
        <v>11880</v>
      </c>
    </row>
    <row r="30" spans="2:17" ht="12.75">
      <c r="B30" s="85" t="s">
        <v>201</v>
      </c>
      <c r="C30" s="86">
        <v>24213</v>
      </c>
      <c r="D30" s="86">
        <v>16253</v>
      </c>
      <c r="E30" s="87">
        <v>0.6712509808780407</v>
      </c>
      <c r="F30" s="86">
        <v>5866</v>
      </c>
      <c r="G30" s="86">
        <v>2819</v>
      </c>
      <c r="H30" s="87">
        <v>0.4805659734060689</v>
      </c>
      <c r="I30" s="86">
        <v>870</v>
      </c>
      <c r="J30" s="86">
        <v>323</v>
      </c>
      <c r="K30" s="87">
        <v>0.37126436781609196</v>
      </c>
      <c r="L30" s="86">
        <v>941</v>
      </c>
      <c r="M30" s="86">
        <v>733</v>
      </c>
      <c r="N30" s="87">
        <v>0.7789585547290117</v>
      </c>
      <c r="O30" s="86">
        <v>3</v>
      </c>
      <c r="P30" s="185">
        <v>11</v>
      </c>
      <c r="Q30" s="183">
        <v>6232</v>
      </c>
    </row>
    <row r="31" spans="2:17" ht="12.75">
      <c r="B31" s="85" t="s">
        <v>202</v>
      </c>
      <c r="C31" s="86">
        <v>9890</v>
      </c>
      <c r="D31" s="86">
        <v>6558</v>
      </c>
      <c r="E31" s="87">
        <v>0.6630940343781597</v>
      </c>
      <c r="F31" s="86">
        <v>1861</v>
      </c>
      <c r="G31" s="86">
        <v>756</v>
      </c>
      <c r="H31" s="87">
        <v>0.4062332079527136</v>
      </c>
      <c r="I31" s="86">
        <v>271</v>
      </c>
      <c r="J31" s="86">
        <v>122</v>
      </c>
      <c r="K31" s="87">
        <v>0.45018450184501846</v>
      </c>
      <c r="L31" s="86">
        <v>936</v>
      </c>
      <c r="M31" s="86">
        <v>351</v>
      </c>
      <c r="N31" s="87">
        <v>0.375</v>
      </c>
      <c r="O31" s="86">
        <v>1</v>
      </c>
      <c r="P31" s="185">
        <v>4</v>
      </c>
      <c r="Q31" s="183">
        <v>3217</v>
      </c>
    </row>
    <row r="32" spans="2:17" ht="12.75">
      <c r="B32" s="85" t="s">
        <v>203</v>
      </c>
      <c r="C32" s="86">
        <v>10223</v>
      </c>
      <c r="D32" s="86">
        <v>6982</v>
      </c>
      <c r="E32" s="87">
        <v>0.6829697740389318</v>
      </c>
      <c r="F32" s="86">
        <v>3900</v>
      </c>
      <c r="G32" s="86">
        <v>1435</v>
      </c>
      <c r="H32" s="87">
        <v>0.367948717948718</v>
      </c>
      <c r="I32" s="86">
        <v>1510</v>
      </c>
      <c r="J32" s="86">
        <v>1052</v>
      </c>
      <c r="K32" s="87">
        <v>0.6966887417218544</v>
      </c>
      <c r="L32" s="86">
        <v>914</v>
      </c>
      <c r="M32" s="86">
        <v>664</v>
      </c>
      <c r="N32" s="87">
        <v>0.7264770240700219</v>
      </c>
      <c r="O32" s="86">
        <v>44</v>
      </c>
      <c r="P32" s="185">
        <v>13</v>
      </c>
      <c r="Q32" s="183">
        <v>4061</v>
      </c>
    </row>
    <row r="33" spans="2:17" ht="12.75">
      <c r="B33" s="85" t="s">
        <v>204</v>
      </c>
      <c r="C33" s="86">
        <v>11306</v>
      </c>
      <c r="D33" s="86">
        <v>7501</v>
      </c>
      <c r="E33" s="87">
        <v>0.6634530337873695</v>
      </c>
      <c r="F33" s="86">
        <v>5597</v>
      </c>
      <c r="G33" s="86">
        <v>4257</v>
      </c>
      <c r="H33" s="87">
        <v>0.7605860282294086</v>
      </c>
      <c r="I33" s="86">
        <v>1529</v>
      </c>
      <c r="J33" s="86">
        <v>1057</v>
      </c>
      <c r="K33" s="87">
        <v>0.6913015042511446</v>
      </c>
      <c r="L33" s="86">
        <v>1452</v>
      </c>
      <c r="M33" s="86">
        <v>971</v>
      </c>
      <c r="N33" s="87">
        <v>0.668732782369146</v>
      </c>
      <c r="O33" s="86">
        <v>26</v>
      </c>
      <c r="P33" s="185">
        <v>60</v>
      </c>
      <c r="Q33" s="183">
        <v>3312</v>
      </c>
    </row>
    <row r="34" spans="2:17" ht="12.75">
      <c r="B34" s="85" t="s">
        <v>205</v>
      </c>
      <c r="C34" s="86">
        <v>14955</v>
      </c>
      <c r="D34" s="86">
        <v>10180</v>
      </c>
      <c r="E34" s="87">
        <v>0.6807087930458041</v>
      </c>
      <c r="F34" s="86">
        <v>7233</v>
      </c>
      <c r="G34" s="86">
        <v>4932</v>
      </c>
      <c r="H34" s="87">
        <v>0.6818747407714641</v>
      </c>
      <c r="I34" s="86">
        <v>3337</v>
      </c>
      <c r="J34" s="86">
        <v>1894</v>
      </c>
      <c r="K34" s="87">
        <v>0.5675756667665568</v>
      </c>
      <c r="L34" s="86">
        <v>1254</v>
      </c>
      <c r="M34" s="86">
        <v>895</v>
      </c>
      <c r="N34" s="87">
        <v>0.7137161084529505</v>
      </c>
      <c r="O34" s="86">
        <v>3</v>
      </c>
      <c r="P34" s="185">
        <v>80</v>
      </c>
      <c r="Q34" s="183">
        <v>10712</v>
      </c>
    </row>
    <row r="35" spans="2:17" ht="12.75">
      <c r="B35" s="85" t="s">
        <v>206</v>
      </c>
      <c r="C35" s="86">
        <v>13021</v>
      </c>
      <c r="D35" s="86">
        <v>5890</v>
      </c>
      <c r="E35" s="87">
        <v>0.4523462099685124</v>
      </c>
      <c r="F35" s="86">
        <v>6148</v>
      </c>
      <c r="G35" s="86">
        <v>3131</v>
      </c>
      <c r="H35" s="87">
        <v>0.5092713077423552</v>
      </c>
      <c r="I35" s="86">
        <v>1061</v>
      </c>
      <c r="J35" s="86">
        <v>331</v>
      </c>
      <c r="K35" s="87">
        <v>0.31196983977379833</v>
      </c>
      <c r="L35" s="86">
        <v>1519</v>
      </c>
      <c r="M35" s="86">
        <v>686</v>
      </c>
      <c r="N35" s="87">
        <v>0.45161290322580644</v>
      </c>
      <c r="O35" s="86">
        <v>6</v>
      </c>
      <c r="P35" s="185">
        <v>50</v>
      </c>
      <c r="Q35" s="183">
        <v>6354</v>
      </c>
    </row>
    <row r="36" spans="2:17" ht="12.75">
      <c r="B36" s="85" t="s">
        <v>207</v>
      </c>
      <c r="C36" s="86">
        <v>29634</v>
      </c>
      <c r="D36" s="86">
        <v>22738</v>
      </c>
      <c r="E36" s="87">
        <v>0.7672943240871971</v>
      </c>
      <c r="F36" s="86">
        <v>9631</v>
      </c>
      <c r="G36" s="86">
        <v>6719</v>
      </c>
      <c r="H36" s="87">
        <v>0.6976430277229779</v>
      </c>
      <c r="I36" s="86">
        <v>1108</v>
      </c>
      <c r="J36" s="86">
        <v>377</v>
      </c>
      <c r="K36" s="87">
        <v>0.34025270758122744</v>
      </c>
      <c r="L36" s="86">
        <v>2456</v>
      </c>
      <c r="M36" s="86">
        <v>1914</v>
      </c>
      <c r="N36" s="87">
        <v>0.7793159609120521</v>
      </c>
      <c r="O36" s="86">
        <v>1</v>
      </c>
      <c r="P36" s="185">
        <v>16</v>
      </c>
      <c r="Q36" s="183">
        <v>6804</v>
      </c>
    </row>
    <row r="37" spans="2:17" ht="12.75">
      <c r="B37" s="85" t="s">
        <v>208</v>
      </c>
      <c r="C37" s="86">
        <v>4991</v>
      </c>
      <c r="D37" s="86">
        <v>2985</v>
      </c>
      <c r="E37" s="87">
        <v>0.5980765377679824</v>
      </c>
      <c r="F37" s="86">
        <v>2389</v>
      </c>
      <c r="G37" s="86">
        <v>1375</v>
      </c>
      <c r="H37" s="87">
        <v>0.575554625366262</v>
      </c>
      <c r="I37" s="86">
        <v>315</v>
      </c>
      <c r="J37" s="86">
        <v>179</v>
      </c>
      <c r="K37" s="87">
        <v>0.5682539682539682</v>
      </c>
      <c r="L37" s="86">
        <v>1246</v>
      </c>
      <c r="M37" s="86">
        <v>1050</v>
      </c>
      <c r="N37" s="87">
        <v>0.8426966292134831</v>
      </c>
      <c r="O37" s="86">
        <v>0</v>
      </c>
      <c r="P37" s="185" t="s">
        <v>594</v>
      </c>
      <c r="Q37" s="183">
        <v>4980</v>
      </c>
    </row>
    <row r="38" spans="2:17" ht="12.75">
      <c r="B38" s="85" t="s">
        <v>209</v>
      </c>
      <c r="C38" s="86">
        <v>47732</v>
      </c>
      <c r="D38" s="86">
        <v>32083</v>
      </c>
      <c r="E38" s="87">
        <v>0.6721486633704852</v>
      </c>
      <c r="F38" s="86">
        <v>16302</v>
      </c>
      <c r="G38" s="86">
        <v>10381</v>
      </c>
      <c r="H38" s="87">
        <v>0.6367930315298737</v>
      </c>
      <c r="I38" s="86">
        <v>2720</v>
      </c>
      <c r="J38" s="86">
        <v>591</v>
      </c>
      <c r="K38" s="87">
        <v>0.2172794117647059</v>
      </c>
      <c r="L38" s="86">
        <v>2621</v>
      </c>
      <c r="M38" s="86">
        <v>1564</v>
      </c>
      <c r="N38" s="87">
        <v>0.5967188096146508</v>
      </c>
      <c r="O38" s="86">
        <v>12</v>
      </c>
      <c r="P38" s="185">
        <v>87</v>
      </c>
      <c r="Q38" s="183">
        <v>20673</v>
      </c>
    </row>
    <row r="39" spans="2:17" ht="12.75">
      <c r="B39" s="85" t="s">
        <v>210</v>
      </c>
      <c r="C39" s="86">
        <v>163</v>
      </c>
      <c r="D39" s="86">
        <v>126</v>
      </c>
      <c r="E39" s="87">
        <v>0.7730061349693251</v>
      </c>
      <c r="F39" s="86">
        <v>172</v>
      </c>
      <c r="G39" s="86">
        <v>71</v>
      </c>
      <c r="H39" s="87">
        <v>0.4127906976744186</v>
      </c>
      <c r="I39" s="86">
        <v>148</v>
      </c>
      <c r="J39" s="86">
        <v>40</v>
      </c>
      <c r="K39" s="87">
        <v>0.2702702702702703</v>
      </c>
      <c r="L39" s="86">
        <v>924</v>
      </c>
      <c r="M39" s="86">
        <v>920</v>
      </c>
      <c r="N39" s="87">
        <v>0.9956709956709957</v>
      </c>
      <c r="O39" s="86">
        <v>0</v>
      </c>
      <c r="P39" s="185" t="s">
        <v>594</v>
      </c>
      <c r="Q39" s="183">
        <v>0</v>
      </c>
    </row>
    <row r="40" spans="2:17" ht="13.5" customHeight="1">
      <c r="B40" s="89" t="s">
        <v>211</v>
      </c>
      <c r="C40" s="88">
        <v>45623</v>
      </c>
      <c r="D40" s="88">
        <v>30595</v>
      </c>
      <c r="E40" s="81">
        <v>0.6706047388378669</v>
      </c>
      <c r="F40" s="88">
        <v>26246</v>
      </c>
      <c r="G40" s="88">
        <v>21241</v>
      </c>
      <c r="H40" s="81">
        <v>0.8093042749371333</v>
      </c>
      <c r="I40" s="88">
        <v>6078</v>
      </c>
      <c r="J40" s="88">
        <v>5123</v>
      </c>
      <c r="K40" s="81">
        <v>0.8428759460348799</v>
      </c>
      <c r="L40" s="88">
        <v>3620</v>
      </c>
      <c r="M40" s="88">
        <v>1513</v>
      </c>
      <c r="N40" s="81">
        <v>0.4179558011049724</v>
      </c>
      <c r="O40" s="88">
        <v>2</v>
      </c>
      <c r="P40" s="186">
        <v>8</v>
      </c>
      <c r="Q40" s="184">
        <v>11268</v>
      </c>
    </row>
    <row r="41" spans="2:17" ht="12.75">
      <c r="B41" s="429" t="s">
        <v>385</v>
      </c>
      <c r="C41" s="429"/>
      <c r="D41" s="429"/>
      <c r="E41" s="429"/>
      <c r="F41" s="429"/>
      <c r="G41" s="429"/>
      <c r="H41" s="429"/>
      <c r="I41" s="429"/>
      <c r="J41" s="429"/>
      <c r="K41" s="429"/>
      <c r="L41" s="429"/>
      <c r="M41" s="429"/>
      <c r="N41" s="429"/>
      <c r="O41" s="429"/>
      <c r="P41" s="429"/>
      <c r="Q41" s="429"/>
    </row>
    <row r="42" spans="2:17" ht="23.25" customHeight="1">
      <c r="B42" s="90"/>
      <c r="C42" s="437" t="s">
        <v>262</v>
      </c>
      <c r="D42" s="437"/>
      <c r="E42" s="437"/>
      <c r="F42" s="437"/>
      <c r="G42" s="437"/>
      <c r="H42" s="437"/>
      <c r="I42" s="437"/>
      <c r="J42" s="437"/>
      <c r="K42" s="437"/>
      <c r="L42" s="437"/>
      <c r="M42" s="437"/>
      <c r="N42" s="437"/>
      <c r="O42" s="437"/>
      <c r="P42" s="437"/>
      <c r="Q42" s="437"/>
    </row>
    <row r="43" spans="2:17" ht="12.75">
      <c r="B43" s="140"/>
      <c r="C43" s="432" t="s">
        <v>388</v>
      </c>
      <c r="D43" s="433"/>
      <c r="E43" s="434"/>
      <c r="F43" s="432" t="s">
        <v>173</v>
      </c>
      <c r="G43" s="433"/>
      <c r="H43" s="434"/>
      <c r="I43" s="432" t="s">
        <v>391</v>
      </c>
      <c r="J43" s="433"/>
      <c r="K43" s="434"/>
      <c r="L43" s="432" t="s">
        <v>175</v>
      </c>
      <c r="M43" s="433"/>
      <c r="N43" s="43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206191</v>
      </c>
      <c r="D45" s="83">
        <v>140463</v>
      </c>
      <c r="E45" s="84">
        <v>0.6812275996527491</v>
      </c>
      <c r="F45" s="83">
        <v>70291</v>
      </c>
      <c r="G45" s="83">
        <v>41288</v>
      </c>
      <c r="H45" s="84">
        <v>0.5873867209173294</v>
      </c>
      <c r="I45" s="83">
        <v>16153</v>
      </c>
      <c r="J45" s="83">
        <v>7142</v>
      </c>
      <c r="K45" s="84">
        <v>0.4421469696031697</v>
      </c>
      <c r="L45" s="83">
        <v>21369</v>
      </c>
      <c r="M45" s="83">
        <v>15088</v>
      </c>
      <c r="N45" s="84">
        <v>0.7060695399878328</v>
      </c>
      <c r="O45" s="83">
        <v>25561</v>
      </c>
      <c r="P45" s="83">
        <v>462</v>
      </c>
      <c r="Q45" s="182">
        <v>60023</v>
      </c>
    </row>
    <row r="46" spans="2:17" ht="12.75">
      <c r="B46" s="85" t="s">
        <v>212</v>
      </c>
      <c r="C46" s="86">
        <v>21256</v>
      </c>
      <c r="D46" s="86">
        <v>17039</v>
      </c>
      <c r="E46" s="87">
        <v>0.8016089574708317</v>
      </c>
      <c r="F46" s="86">
        <v>6024</v>
      </c>
      <c r="G46" s="86">
        <v>4986</v>
      </c>
      <c r="H46" s="87">
        <v>0.8276892430278885</v>
      </c>
      <c r="I46" s="86">
        <v>992</v>
      </c>
      <c r="J46" s="86">
        <v>671</v>
      </c>
      <c r="K46" s="87">
        <v>0.6764112903225806</v>
      </c>
      <c r="L46" s="86">
        <v>2863</v>
      </c>
      <c r="M46" s="86">
        <v>2436</v>
      </c>
      <c r="N46" s="87">
        <v>0.8508557457212714</v>
      </c>
      <c r="O46" s="86">
        <v>8</v>
      </c>
      <c r="P46" s="185">
        <v>147</v>
      </c>
      <c r="Q46" s="183">
        <v>5649</v>
      </c>
    </row>
    <row r="47" spans="2:17" ht="12.75">
      <c r="B47" s="85" t="s">
        <v>253</v>
      </c>
      <c r="C47" s="86">
        <v>6714</v>
      </c>
      <c r="D47" s="86">
        <v>4779</v>
      </c>
      <c r="E47" s="87">
        <v>0.7117962466487936</v>
      </c>
      <c r="F47" s="86">
        <v>2842</v>
      </c>
      <c r="G47" s="86">
        <v>1880</v>
      </c>
      <c r="H47" s="87">
        <v>0.661505981703026</v>
      </c>
      <c r="I47" s="86">
        <v>281</v>
      </c>
      <c r="J47" s="86">
        <v>113</v>
      </c>
      <c r="K47" s="87">
        <v>0.40213523131672596</v>
      </c>
      <c r="L47" s="86">
        <v>233</v>
      </c>
      <c r="M47" s="86">
        <v>164</v>
      </c>
      <c r="N47" s="87">
        <v>0.703862660944206</v>
      </c>
      <c r="O47" s="86">
        <v>0</v>
      </c>
      <c r="P47" s="185" t="s">
        <v>594</v>
      </c>
      <c r="Q47" s="183">
        <v>1184</v>
      </c>
    </row>
    <row r="48" spans="2:17" ht="12.75">
      <c r="B48" s="85" t="s">
        <v>254</v>
      </c>
      <c r="C48" s="86">
        <v>1109</v>
      </c>
      <c r="D48" s="86">
        <v>315</v>
      </c>
      <c r="E48" s="87">
        <v>0.2840396753832281</v>
      </c>
      <c r="F48" s="86">
        <v>301</v>
      </c>
      <c r="G48" s="86">
        <v>46</v>
      </c>
      <c r="H48" s="87">
        <v>0.15282392026578073</v>
      </c>
      <c r="I48" s="86">
        <v>79</v>
      </c>
      <c r="J48" s="86">
        <v>21</v>
      </c>
      <c r="K48" s="87">
        <v>0.26582278481012656</v>
      </c>
      <c r="L48" s="86">
        <v>46</v>
      </c>
      <c r="M48" s="86">
        <v>30</v>
      </c>
      <c r="N48" s="87">
        <v>0.6521739130434783</v>
      </c>
      <c r="O48" s="86">
        <v>0</v>
      </c>
      <c r="P48" s="185" t="s">
        <v>594</v>
      </c>
      <c r="Q48" s="183">
        <v>291</v>
      </c>
    </row>
    <row r="49" spans="2:17" ht="12.75">
      <c r="B49" s="85" t="s">
        <v>255</v>
      </c>
      <c r="C49" s="86">
        <v>37478</v>
      </c>
      <c r="D49" s="86">
        <v>27741</v>
      </c>
      <c r="E49" s="87">
        <v>0.7401942472917445</v>
      </c>
      <c r="F49" s="86">
        <v>14993</v>
      </c>
      <c r="G49" s="86">
        <v>11060</v>
      </c>
      <c r="H49" s="87">
        <v>0.7376775828720069</v>
      </c>
      <c r="I49" s="86">
        <v>2004</v>
      </c>
      <c r="J49" s="86">
        <v>971</v>
      </c>
      <c r="K49" s="87">
        <v>0.4845309381237525</v>
      </c>
      <c r="L49" s="86">
        <v>6419</v>
      </c>
      <c r="M49" s="86">
        <v>5019</v>
      </c>
      <c r="N49" s="87">
        <v>0.781897491821156</v>
      </c>
      <c r="O49" s="86">
        <v>5</v>
      </c>
      <c r="P49" s="185">
        <v>5</v>
      </c>
      <c r="Q49" s="183">
        <v>14148</v>
      </c>
    </row>
    <row r="50" spans="2:17" ht="12.75">
      <c r="B50" s="85" t="s">
        <v>256</v>
      </c>
      <c r="C50" s="86">
        <v>3607</v>
      </c>
      <c r="D50" s="86">
        <v>1542</v>
      </c>
      <c r="E50" s="87">
        <v>0.4275020792902689</v>
      </c>
      <c r="F50" s="86">
        <v>2061</v>
      </c>
      <c r="G50" s="86">
        <v>412</v>
      </c>
      <c r="H50" s="87">
        <v>0.19990295972828723</v>
      </c>
      <c r="I50" s="86">
        <v>247</v>
      </c>
      <c r="J50" s="86">
        <v>86</v>
      </c>
      <c r="K50" s="87">
        <v>0.3481781376518219</v>
      </c>
      <c r="L50" s="86">
        <v>529</v>
      </c>
      <c r="M50" s="86">
        <v>192</v>
      </c>
      <c r="N50" s="87">
        <v>0.3629489603024575</v>
      </c>
      <c r="O50" s="86">
        <v>0</v>
      </c>
      <c r="P50" s="185">
        <v>1</v>
      </c>
      <c r="Q50" s="183">
        <v>1579</v>
      </c>
    </row>
    <row r="51" spans="2:17" ht="12.75">
      <c r="B51" s="85" t="s">
        <v>257</v>
      </c>
      <c r="C51" s="86">
        <v>8427</v>
      </c>
      <c r="D51" s="86">
        <v>5515</v>
      </c>
      <c r="E51" s="87">
        <v>0.6544440488904711</v>
      </c>
      <c r="F51" s="86">
        <v>5869</v>
      </c>
      <c r="G51" s="86">
        <v>4249</v>
      </c>
      <c r="H51" s="87">
        <v>0.7239734196626342</v>
      </c>
      <c r="I51" s="86">
        <v>1539</v>
      </c>
      <c r="J51" s="86">
        <v>985</v>
      </c>
      <c r="K51" s="87">
        <v>0.6400259909031839</v>
      </c>
      <c r="L51" s="86">
        <v>1415</v>
      </c>
      <c r="M51" s="86">
        <v>1109</v>
      </c>
      <c r="N51" s="87">
        <v>0.7837455830388692</v>
      </c>
      <c r="O51" s="86">
        <v>6</v>
      </c>
      <c r="P51" s="185">
        <v>50</v>
      </c>
      <c r="Q51" s="183">
        <v>5271</v>
      </c>
    </row>
    <row r="52" spans="2:17" ht="12.75">
      <c r="B52" s="85" t="s">
        <v>283</v>
      </c>
      <c r="C52" s="86">
        <v>10215</v>
      </c>
      <c r="D52" s="86">
        <v>3934</v>
      </c>
      <c r="E52" s="87">
        <v>0.3851199216837983</v>
      </c>
      <c r="F52" s="86">
        <v>3482</v>
      </c>
      <c r="G52" s="86">
        <v>1286</v>
      </c>
      <c r="H52" s="87">
        <v>0.36932797242963816</v>
      </c>
      <c r="I52" s="86">
        <v>1840</v>
      </c>
      <c r="J52" s="86">
        <v>333</v>
      </c>
      <c r="K52" s="87">
        <v>0.18097826086956523</v>
      </c>
      <c r="L52" s="86">
        <v>511</v>
      </c>
      <c r="M52" s="86">
        <v>171</v>
      </c>
      <c r="N52" s="87">
        <v>0.33463796477495106</v>
      </c>
      <c r="O52" s="86">
        <v>11242</v>
      </c>
      <c r="P52" s="185" t="s">
        <v>3</v>
      </c>
      <c r="Q52" s="182">
        <v>3332</v>
      </c>
    </row>
    <row r="53" spans="2:17" ht="12.75">
      <c r="B53" s="85" t="s">
        <v>284</v>
      </c>
      <c r="C53" s="86">
        <v>16999</v>
      </c>
      <c r="D53" s="86">
        <v>10861</v>
      </c>
      <c r="E53" s="87">
        <v>0.638919936466851</v>
      </c>
      <c r="F53" s="86">
        <v>5586</v>
      </c>
      <c r="G53" s="86">
        <v>2050</v>
      </c>
      <c r="H53" s="87">
        <v>0.3669889008234873</v>
      </c>
      <c r="I53" s="86">
        <v>1026</v>
      </c>
      <c r="J53" s="86">
        <v>398</v>
      </c>
      <c r="K53" s="87">
        <v>0.38791423001949316</v>
      </c>
      <c r="L53" s="86">
        <v>1004</v>
      </c>
      <c r="M53" s="86">
        <v>411</v>
      </c>
      <c r="N53" s="87">
        <v>0.40936254980079684</v>
      </c>
      <c r="O53" s="86">
        <v>4</v>
      </c>
      <c r="P53" s="185">
        <v>2</v>
      </c>
      <c r="Q53" s="183">
        <v>3109</v>
      </c>
    </row>
    <row r="54" spans="2:17" ht="12.75">
      <c r="B54" s="85" t="s">
        <v>285</v>
      </c>
      <c r="C54" s="86">
        <v>14672</v>
      </c>
      <c r="D54" s="86">
        <v>10639</v>
      </c>
      <c r="E54" s="87">
        <v>0.7251226826608506</v>
      </c>
      <c r="F54" s="86">
        <v>5577</v>
      </c>
      <c r="G54" s="86">
        <v>3687</v>
      </c>
      <c r="H54" s="87">
        <v>0.6611081226465841</v>
      </c>
      <c r="I54" s="86">
        <v>371</v>
      </c>
      <c r="J54" s="86">
        <v>181</v>
      </c>
      <c r="K54" s="87">
        <v>0.48787061994609165</v>
      </c>
      <c r="L54" s="86">
        <v>1893</v>
      </c>
      <c r="M54" s="86">
        <v>1417</v>
      </c>
      <c r="N54" s="87">
        <v>0.7485472794506075</v>
      </c>
      <c r="O54" s="86">
        <v>15</v>
      </c>
      <c r="P54" s="185">
        <v>120</v>
      </c>
      <c r="Q54" s="183">
        <v>4709</v>
      </c>
    </row>
    <row r="55" spans="2:17" ht="12.75">
      <c r="B55" s="85" t="s">
        <v>286</v>
      </c>
      <c r="C55" s="86">
        <v>958</v>
      </c>
      <c r="D55" s="86">
        <v>280</v>
      </c>
      <c r="E55" s="87">
        <v>0.29227557411273486</v>
      </c>
      <c r="F55" s="86">
        <v>726</v>
      </c>
      <c r="G55" s="86">
        <v>44</v>
      </c>
      <c r="H55" s="87">
        <v>0.06060606060606061</v>
      </c>
      <c r="I55" s="86">
        <v>367</v>
      </c>
      <c r="J55" s="86">
        <v>35</v>
      </c>
      <c r="K55" s="87">
        <v>0.09536784741144415</v>
      </c>
      <c r="L55" s="86">
        <v>181</v>
      </c>
      <c r="M55" s="86">
        <v>91</v>
      </c>
      <c r="N55" s="87">
        <v>0.5027624309392266</v>
      </c>
      <c r="O55" s="86">
        <v>0</v>
      </c>
      <c r="P55" s="185">
        <v>1</v>
      </c>
      <c r="Q55" s="183">
        <v>233</v>
      </c>
    </row>
    <row r="56" spans="2:17" ht="12.75">
      <c r="B56" s="85" t="s">
        <v>287</v>
      </c>
      <c r="C56" s="86">
        <v>20057</v>
      </c>
      <c r="D56" s="86">
        <v>14189</v>
      </c>
      <c r="E56" s="87">
        <v>0.7074338136311512</v>
      </c>
      <c r="F56" s="86">
        <v>6129</v>
      </c>
      <c r="G56" s="86">
        <v>3833</v>
      </c>
      <c r="H56" s="87">
        <v>0.6253875020394845</v>
      </c>
      <c r="I56" s="86">
        <v>1246</v>
      </c>
      <c r="J56" s="86">
        <v>785</v>
      </c>
      <c r="K56" s="87">
        <v>0.630016051364366</v>
      </c>
      <c r="L56" s="86">
        <v>1717</v>
      </c>
      <c r="M56" s="86">
        <v>1061</v>
      </c>
      <c r="N56" s="87">
        <v>0.6179382644146768</v>
      </c>
      <c r="O56" s="86">
        <v>14</v>
      </c>
      <c r="P56" s="185">
        <v>125</v>
      </c>
      <c r="Q56" s="183">
        <v>5443</v>
      </c>
    </row>
    <row r="57" spans="2:17" ht="12.75">
      <c r="B57" s="85" t="s">
        <v>288</v>
      </c>
      <c r="C57" s="86">
        <v>12284</v>
      </c>
      <c r="D57" s="86">
        <v>3877</v>
      </c>
      <c r="E57" s="87">
        <v>0.315613806577662</v>
      </c>
      <c r="F57" s="86">
        <v>3321</v>
      </c>
      <c r="G57" s="86">
        <v>430</v>
      </c>
      <c r="H57" s="87">
        <v>0.12947907256850347</v>
      </c>
      <c r="I57" s="86">
        <v>4625</v>
      </c>
      <c r="J57" s="86">
        <v>1927</v>
      </c>
      <c r="K57" s="87">
        <v>0.41664864864864865</v>
      </c>
      <c r="L57" s="86">
        <v>573</v>
      </c>
      <c r="M57" s="86">
        <v>302</v>
      </c>
      <c r="N57" s="87">
        <v>0.5270506108202443</v>
      </c>
      <c r="O57" s="86">
        <v>14261</v>
      </c>
      <c r="P57" s="185" t="s">
        <v>3</v>
      </c>
      <c r="Q57" s="182">
        <v>1382</v>
      </c>
    </row>
    <row r="58" spans="2:17" ht="12.75">
      <c r="B58" s="85" t="s">
        <v>289</v>
      </c>
      <c r="C58" s="86">
        <v>47308</v>
      </c>
      <c r="D58" s="86">
        <v>36735</v>
      </c>
      <c r="E58" s="87">
        <v>0.7765071446689777</v>
      </c>
      <c r="F58" s="86">
        <v>11636</v>
      </c>
      <c r="G58" s="86">
        <v>6476</v>
      </c>
      <c r="H58" s="87">
        <v>0.556548642145067</v>
      </c>
      <c r="I58" s="86">
        <v>1415</v>
      </c>
      <c r="J58" s="86">
        <v>604</v>
      </c>
      <c r="K58" s="87">
        <v>0.4268551236749117</v>
      </c>
      <c r="L58" s="86">
        <v>3394</v>
      </c>
      <c r="M58" s="86">
        <v>2255</v>
      </c>
      <c r="N58" s="87">
        <v>0.664407778432528</v>
      </c>
      <c r="O58" s="86">
        <v>6</v>
      </c>
      <c r="P58" s="185">
        <v>11</v>
      </c>
      <c r="Q58" s="183">
        <v>12763</v>
      </c>
    </row>
    <row r="59" spans="2:17" ht="12.75">
      <c r="B59" s="89" t="s">
        <v>290</v>
      </c>
      <c r="C59" s="88">
        <v>5107</v>
      </c>
      <c r="D59" s="88">
        <v>3017</v>
      </c>
      <c r="E59" s="81">
        <v>0.5907577834345017</v>
      </c>
      <c r="F59" s="88">
        <v>1744</v>
      </c>
      <c r="G59" s="88">
        <v>849</v>
      </c>
      <c r="H59" s="81">
        <v>0.4868119266055046</v>
      </c>
      <c r="I59" s="88">
        <v>121</v>
      </c>
      <c r="J59" s="88">
        <v>32</v>
      </c>
      <c r="K59" s="81">
        <v>0.2644628099173554</v>
      </c>
      <c r="L59" s="88">
        <v>591</v>
      </c>
      <c r="M59" s="88">
        <v>430</v>
      </c>
      <c r="N59" s="81">
        <v>0.727580372250423</v>
      </c>
      <c r="O59" s="88">
        <v>0</v>
      </c>
      <c r="P59" s="186" t="s">
        <v>594</v>
      </c>
      <c r="Q59" s="184">
        <v>930</v>
      </c>
    </row>
    <row r="60" spans="2:17" ht="12.75">
      <c r="B60" s="82" t="s">
        <v>267</v>
      </c>
      <c r="C60" s="83">
        <v>206853</v>
      </c>
      <c r="D60" s="83">
        <v>153156</v>
      </c>
      <c r="E60" s="84">
        <v>0.7404098562747459</v>
      </c>
      <c r="F60" s="83">
        <v>79808</v>
      </c>
      <c r="G60" s="83">
        <v>55452</v>
      </c>
      <c r="H60" s="84">
        <v>0.694817562149158</v>
      </c>
      <c r="I60" s="83">
        <v>15898</v>
      </c>
      <c r="J60" s="83">
        <v>10500</v>
      </c>
      <c r="K60" s="84">
        <v>0.6604604352748773</v>
      </c>
      <c r="L60" s="83">
        <v>23019</v>
      </c>
      <c r="M60" s="83">
        <v>15874</v>
      </c>
      <c r="N60" s="84">
        <v>0.6896042399756722</v>
      </c>
      <c r="O60" s="83">
        <v>410</v>
      </c>
      <c r="P60" s="187">
        <v>188</v>
      </c>
      <c r="Q60" s="182">
        <v>45576</v>
      </c>
    </row>
    <row r="61" spans="2:17" ht="12.75">
      <c r="B61" s="85" t="s">
        <v>291</v>
      </c>
      <c r="C61" s="86">
        <v>4975</v>
      </c>
      <c r="D61" s="86">
        <v>2864</v>
      </c>
      <c r="E61" s="87">
        <v>0.575678391959799</v>
      </c>
      <c r="F61" s="86">
        <v>2209</v>
      </c>
      <c r="G61" s="86">
        <v>1326</v>
      </c>
      <c r="H61" s="87">
        <v>0.6002716161158895</v>
      </c>
      <c r="I61" s="86">
        <v>417</v>
      </c>
      <c r="J61" s="86">
        <v>130</v>
      </c>
      <c r="K61" s="87">
        <v>0.3117505995203837</v>
      </c>
      <c r="L61" s="86">
        <v>598</v>
      </c>
      <c r="M61" s="86">
        <v>425</v>
      </c>
      <c r="N61" s="87">
        <v>0.7107023411371237</v>
      </c>
      <c r="O61" s="86">
        <v>2</v>
      </c>
      <c r="P61" s="185">
        <v>2</v>
      </c>
      <c r="Q61" s="183">
        <v>1794</v>
      </c>
    </row>
    <row r="62" spans="2:17" ht="12.75">
      <c r="B62" s="85" t="s">
        <v>292</v>
      </c>
      <c r="C62" s="86">
        <v>2700</v>
      </c>
      <c r="D62" s="86">
        <v>1901</v>
      </c>
      <c r="E62" s="87">
        <v>0.7040740740740741</v>
      </c>
      <c r="F62" s="86">
        <v>2187</v>
      </c>
      <c r="G62" s="86">
        <v>1827</v>
      </c>
      <c r="H62" s="87">
        <v>0.8353909465020576</v>
      </c>
      <c r="I62" s="86">
        <v>1100</v>
      </c>
      <c r="J62" s="86">
        <v>852</v>
      </c>
      <c r="K62" s="87">
        <v>0.7745454545454545</v>
      </c>
      <c r="L62" s="86">
        <v>310</v>
      </c>
      <c r="M62" s="86">
        <v>226</v>
      </c>
      <c r="N62" s="87">
        <v>0.7290322580645161</v>
      </c>
      <c r="O62" s="86">
        <v>0</v>
      </c>
      <c r="P62" s="185" t="s">
        <v>594</v>
      </c>
      <c r="Q62" s="183">
        <v>145</v>
      </c>
    </row>
    <row r="63" spans="2:17" ht="12.75">
      <c r="B63" s="85" t="s">
        <v>293</v>
      </c>
      <c r="C63" s="86">
        <v>2176</v>
      </c>
      <c r="D63" s="86">
        <v>960</v>
      </c>
      <c r="E63" s="87">
        <v>0.4411764705882353</v>
      </c>
      <c r="F63" s="86">
        <v>1489</v>
      </c>
      <c r="G63" s="86">
        <v>824</v>
      </c>
      <c r="H63" s="87">
        <v>0.5533915379449295</v>
      </c>
      <c r="I63" s="86">
        <v>241</v>
      </c>
      <c r="J63" s="86">
        <v>122</v>
      </c>
      <c r="K63" s="87">
        <v>0.5062240663900415</v>
      </c>
      <c r="L63" s="86">
        <v>451</v>
      </c>
      <c r="M63" s="86">
        <v>238</v>
      </c>
      <c r="N63" s="87">
        <v>0.5277161862527716</v>
      </c>
      <c r="O63" s="86">
        <v>0</v>
      </c>
      <c r="P63" s="185">
        <v>1</v>
      </c>
      <c r="Q63" s="183">
        <v>984</v>
      </c>
    </row>
    <row r="64" spans="2:17" ht="12.75">
      <c r="B64" s="85" t="s">
        <v>294</v>
      </c>
      <c r="C64" s="86">
        <v>13423</v>
      </c>
      <c r="D64" s="86">
        <v>8533</v>
      </c>
      <c r="E64" s="87">
        <v>0.6356999180511063</v>
      </c>
      <c r="F64" s="86">
        <v>6409</v>
      </c>
      <c r="G64" s="86">
        <v>3979</v>
      </c>
      <c r="H64" s="87">
        <v>0.6208456857544079</v>
      </c>
      <c r="I64" s="86">
        <v>1247</v>
      </c>
      <c r="J64" s="86">
        <v>604</v>
      </c>
      <c r="K64" s="87">
        <v>0.4843624699278268</v>
      </c>
      <c r="L64" s="86">
        <v>1748</v>
      </c>
      <c r="M64" s="86">
        <v>991</v>
      </c>
      <c r="N64" s="87">
        <v>0.566933638443936</v>
      </c>
      <c r="O64" s="86">
        <v>6</v>
      </c>
      <c r="P64" s="185">
        <v>4</v>
      </c>
      <c r="Q64" s="183">
        <v>297</v>
      </c>
    </row>
    <row r="65" spans="2:17" ht="12.75">
      <c r="B65" s="85" t="s">
        <v>372</v>
      </c>
      <c r="C65" s="86">
        <v>1221</v>
      </c>
      <c r="D65" s="86">
        <v>425</v>
      </c>
      <c r="E65" s="87">
        <v>0.34807534807534807</v>
      </c>
      <c r="F65" s="86">
        <v>607</v>
      </c>
      <c r="G65" s="86">
        <v>277</v>
      </c>
      <c r="H65" s="87">
        <v>0.45634266886326197</v>
      </c>
      <c r="I65" s="86">
        <v>88</v>
      </c>
      <c r="J65" s="86">
        <v>24</v>
      </c>
      <c r="K65" s="87">
        <v>0.2727272727272727</v>
      </c>
      <c r="L65" s="86">
        <v>171</v>
      </c>
      <c r="M65" s="86">
        <v>91</v>
      </c>
      <c r="N65" s="87">
        <v>0.5321637426900585</v>
      </c>
      <c r="O65" s="86">
        <v>2</v>
      </c>
      <c r="P65" s="185">
        <v>3</v>
      </c>
      <c r="Q65" s="183">
        <v>3838</v>
      </c>
    </row>
    <row r="66" spans="2:17" ht="12.75">
      <c r="B66" s="85" t="s">
        <v>295</v>
      </c>
      <c r="C66" s="86">
        <v>2255</v>
      </c>
      <c r="D66" s="86">
        <v>1153</v>
      </c>
      <c r="E66" s="87">
        <v>0.5113082039911309</v>
      </c>
      <c r="F66" s="86">
        <v>1185</v>
      </c>
      <c r="G66" s="86">
        <v>663</v>
      </c>
      <c r="H66" s="87">
        <v>0.5594936708860759</v>
      </c>
      <c r="I66" s="86">
        <v>203</v>
      </c>
      <c r="J66" s="86">
        <v>112</v>
      </c>
      <c r="K66" s="87">
        <v>0.5517241379310345</v>
      </c>
      <c r="L66" s="86">
        <v>343</v>
      </c>
      <c r="M66" s="86">
        <v>205</v>
      </c>
      <c r="N66" s="87">
        <v>0.597667638483965</v>
      </c>
      <c r="O66" s="86">
        <v>1</v>
      </c>
      <c r="P66" s="185">
        <v>1</v>
      </c>
      <c r="Q66" s="183">
        <v>278</v>
      </c>
    </row>
    <row r="67" spans="2:17" ht="12.75">
      <c r="B67" s="85" t="s">
        <v>296</v>
      </c>
      <c r="C67" s="86">
        <v>5980</v>
      </c>
      <c r="D67" s="86">
        <v>4545</v>
      </c>
      <c r="E67" s="87">
        <v>0.7600334448160535</v>
      </c>
      <c r="F67" s="86">
        <v>1892</v>
      </c>
      <c r="G67" s="86">
        <v>969</v>
      </c>
      <c r="H67" s="87">
        <v>0.5121564482029598</v>
      </c>
      <c r="I67" s="86">
        <v>180</v>
      </c>
      <c r="J67" s="86">
        <v>118</v>
      </c>
      <c r="K67" s="87">
        <v>0.6555555555555556</v>
      </c>
      <c r="L67" s="86">
        <v>858</v>
      </c>
      <c r="M67" s="86">
        <v>740</v>
      </c>
      <c r="N67" s="87">
        <v>0.8624708624708625</v>
      </c>
      <c r="O67" s="86">
        <v>4</v>
      </c>
      <c r="P67" s="185" t="s">
        <v>594</v>
      </c>
      <c r="Q67" s="183">
        <v>785</v>
      </c>
    </row>
    <row r="68" spans="2:17" ht="12.75">
      <c r="B68" s="85" t="s">
        <v>297</v>
      </c>
      <c r="C68" s="86">
        <v>22341</v>
      </c>
      <c r="D68" s="86">
        <v>18460</v>
      </c>
      <c r="E68" s="87">
        <v>0.8262835146143861</v>
      </c>
      <c r="F68" s="86">
        <v>6578</v>
      </c>
      <c r="G68" s="86">
        <v>5039</v>
      </c>
      <c r="H68" s="87">
        <v>0.7660383095165704</v>
      </c>
      <c r="I68" s="86">
        <v>1782</v>
      </c>
      <c r="J68" s="86">
        <v>1401</v>
      </c>
      <c r="K68" s="87">
        <v>0.7861952861952862</v>
      </c>
      <c r="L68" s="86">
        <v>1175</v>
      </c>
      <c r="M68" s="86">
        <v>914</v>
      </c>
      <c r="N68" s="87">
        <v>0.7778723404255319</v>
      </c>
      <c r="O68" s="86">
        <v>3</v>
      </c>
      <c r="P68" s="185">
        <v>3</v>
      </c>
      <c r="Q68" s="183">
        <v>5962</v>
      </c>
    </row>
    <row r="69" spans="2:17" ht="12.75">
      <c r="B69" s="91" t="s">
        <v>298</v>
      </c>
      <c r="C69" s="86">
        <v>2211</v>
      </c>
      <c r="D69" s="86">
        <v>1232</v>
      </c>
      <c r="E69" s="87">
        <v>0.5572139303482587</v>
      </c>
      <c r="F69" s="86">
        <v>1321</v>
      </c>
      <c r="G69" s="86">
        <v>429</v>
      </c>
      <c r="H69" s="87">
        <v>0.32475397426192276</v>
      </c>
      <c r="I69" s="86">
        <v>227</v>
      </c>
      <c r="J69" s="86">
        <v>129</v>
      </c>
      <c r="K69" s="87">
        <v>0.5682819383259912</v>
      </c>
      <c r="L69" s="86">
        <v>755</v>
      </c>
      <c r="M69" s="86">
        <v>557</v>
      </c>
      <c r="N69" s="87">
        <v>0.7377483443708609</v>
      </c>
      <c r="O69" s="86">
        <v>329</v>
      </c>
      <c r="P69" s="185">
        <v>105</v>
      </c>
      <c r="Q69" s="183">
        <v>1813</v>
      </c>
    </row>
    <row r="70" spans="2:17" ht="12.75">
      <c r="B70" s="85" t="s">
        <v>299</v>
      </c>
      <c r="C70" s="86">
        <v>30259</v>
      </c>
      <c r="D70" s="86">
        <v>25264</v>
      </c>
      <c r="E70" s="87">
        <v>0.834925146237483</v>
      </c>
      <c r="F70" s="86">
        <v>11260</v>
      </c>
      <c r="G70" s="86">
        <v>7639</v>
      </c>
      <c r="H70" s="87">
        <v>0.6784191829484902</v>
      </c>
      <c r="I70" s="86">
        <v>1509</v>
      </c>
      <c r="J70" s="86">
        <v>783</v>
      </c>
      <c r="K70" s="87">
        <v>0.5188866799204771</v>
      </c>
      <c r="L70" s="86">
        <v>5315</v>
      </c>
      <c r="M70" s="86">
        <v>3922</v>
      </c>
      <c r="N70" s="87">
        <v>0.7379115710253998</v>
      </c>
      <c r="O70" s="86">
        <v>7</v>
      </c>
      <c r="P70" s="185">
        <v>4</v>
      </c>
      <c r="Q70" s="183">
        <v>7427</v>
      </c>
    </row>
    <row r="71" spans="2:17" ht="12.75">
      <c r="B71" s="85" t="s">
        <v>300</v>
      </c>
      <c r="C71" s="86">
        <v>23007</v>
      </c>
      <c r="D71" s="86">
        <v>17929</v>
      </c>
      <c r="E71" s="87">
        <v>0.7792845655670013</v>
      </c>
      <c r="F71" s="86">
        <v>6368</v>
      </c>
      <c r="G71" s="86">
        <v>4254</v>
      </c>
      <c r="H71" s="87">
        <v>0.6680276381909548</v>
      </c>
      <c r="I71" s="86">
        <v>786</v>
      </c>
      <c r="J71" s="86">
        <v>556</v>
      </c>
      <c r="K71" s="87">
        <v>0.7073791348600509</v>
      </c>
      <c r="L71" s="86">
        <v>2013</v>
      </c>
      <c r="M71" s="86">
        <v>1124</v>
      </c>
      <c r="N71" s="87">
        <v>0.5583705911574764</v>
      </c>
      <c r="O71" s="86">
        <v>1</v>
      </c>
      <c r="P71" s="185">
        <v>2</v>
      </c>
      <c r="Q71" s="183">
        <v>5084</v>
      </c>
    </row>
    <row r="72" spans="2:17" ht="12.75">
      <c r="B72" s="85" t="s">
        <v>301</v>
      </c>
      <c r="C72" s="86">
        <v>12155</v>
      </c>
      <c r="D72" s="86">
        <v>7779</v>
      </c>
      <c r="E72" s="87">
        <v>0.6399835458658988</v>
      </c>
      <c r="F72" s="86">
        <v>5994</v>
      </c>
      <c r="G72" s="86">
        <v>4021</v>
      </c>
      <c r="H72" s="87">
        <v>0.6708375041708375</v>
      </c>
      <c r="I72" s="86">
        <v>1683</v>
      </c>
      <c r="J72" s="86">
        <v>1066</v>
      </c>
      <c r="K72" s="87">
        <v>0.6333927510398099</v>
      </c>
      <c r="L72" s="86">
        <v>632</v>
      </c>
      <c r="M72" s="86">
        <v>421</v>
      </c>
      <c r="N72" s="87">
        <v>0.6661392405063291</v>
      </c>
      <c r="O72" s="86">
        <v>3</v>
      </c>
      <c r="P72" s="185">
        <v>24</v>
      </c>
      <c r="Q72" s="183">
        <v>5340</v>
      </c>
    </row>
    <row r="73" spans="2:17" ht="12.75">
      <c r="B73" s="85" t="s">
        <v>302</v>
      </c>
      <c r="C73" s="86">
        <v>9870</v>
      </c>
      <c r="D73" s="86">
        <v>8025</v>
      </c>
      <c r="E73" s="87">
        <v>0.8130699088145896</v>
      </c>
      <c r="F73" s="86">
        <v>2598</v>
      </c>
      <c r="G73" s="86">
        <v>1827</v>
      </c>
      <c r="H73" s="87">
        <v>0.7032332563510393</v>
      </c>
      <c r="I73" s="86">
        <v>264</v>
      </c>
      <c r="J73" s="86">
        <v>102</v>
      </c>
      <c r="K73" s="87">
        <v>0.38636363636363635</v>
      </c>
      <c r="L73" s="86">
        <v>693</v>
      </c>
      <c r="M73" s="86">
        <v>531</v>
      </c>
      <c r="N73" s="87">
        <v>0.7662337662337663</v>
      </c>
      <c r="O73" s="86">
        <v>1</v>
      </c>
      <c r="P73" s="185">
        <v>3</v>
      </c>
      <c r="Q73" s="183">
        <v>902</v>
      </c>
    </row>
    <row r="74" spans="2:17" ht="13.5" customHeight="1">
      <c r="B74" s="85" t="s">
        <v>303</v>
      </c>
      <c r="C74" s="86">
        <v>18909</v>
      </c>
      <c r="D74" s="86">
        <v>14457</v>
      </c>
      <c r="E74" s="87">
        <v>0.7645565603680787</v>
      </c>
      <c r="F74" s="86">
        <v>8900</v>
      </c>
      <c r="G74" s="86">
        <v>7386</v>
      </c>
      <c r="H74" s="87">
        <v>0.8298876404494382</v>
      </c>
      <c r="I74" s="86">
        <v>719</v>
      </c>
      <c r="J74" s="86">
        <v>550</v>
      </c>
      <c r="K74" s="87">
        <v>0.7649513212795549</v>
      </c>
      <c r="L74" s="86">
        <v>2419</v>
      </c>
      <c r="M74" s="86">
        <v>2032</v>
      </c>
      <c r="N74" s="87">
        <v>0.8400165357585779</v>
      </c>
      <c r="O74" s="86">
        <v>0</v>
      </c>
      <c r="P74" s="185">
        <v>2</v>
      </c>
      <c r="Q74" s="183">
        <v>1594</v>
      </c>
    </row>
    <row r="75" spans="2:17" ht="12.75">
      <c r="B75" s="85" t="s">
        <v>304</v>
      </c>
      <c r="C75" s="86">
        <v>29743</v>
      </c>
      <c r="D75" s="86">
        <v>19913</v>
      </c>
      <c r="E75" s="87">
        <v>0.6695020677134116</v>
      </c>
      <c r="F75" s="86">
        <v>7054</v>
      </c>
      <c r="G75" s="86">
        <v>4611</v>
      </c>
      <c r="H75" s="87">
        <v>0.6536716756450242</v>
      </c>
      <c r="I75" s="86">
        <v>1975</v>
      </c>
      <c r="J75" s="86">
        <v>1551</v>
      </c>
      <c r="K75" s="87">
        <v>0.7853164556962026</v>
      </c>
      <c r="L75" s="86">
        <v>3046</v>
      </c>
      <c r="M75" s="86">
        <v>1817</v>
      </c>
      <c r="N75" s="87">
        <v>0.5965200262639527</v>
      </c>
      <c r="O75" s="86">
        <v>0</v>
      </c>
      <c r="P75" s="185">
        <v>2</v>
      </c>
      <c r="Q75" s="183">
        <v>4019</v>
      </c>
    </row>
    <row r="76" spans="2:17" ht="12.75">
      <c r="B76" s="89" t="s">
        <v>305</v>
      </c>
      <c r="C76" s="88">
        <v>25628</v>
      </c>
      <c r="D76" s="88">
        <v>19716</v>
      </c>
      <c r="E76" s="81">
        <v>0.7693148119244576</v>
      </c>
      <c r="F76" s="88">
        <v>13757</v>
      </c>
      <c r="G76" s="88">
        <v>10381</v>
      </c>
      <c r="H76" s="81">
        <v>0.75459765937341</v>
      </c>
      <c r="I76" s="88">
        <v>3477</v>
      </c>
      <c r="J76" s="88">
        <v>2400</v>
      </c>
      <c r="K76" s="81">
        <v>0.6902502157031924</v>
      </c>
      <c r="L76" s="88">
        <v>2492</v>
      </c>
      <c r="M76" s="88">
        <v>1640</v>
      </c>
      <c r="N76" s="81">
        <v>0.6581059390048154</v>
      </c>
      <c r="O76" s="88">
        <v>51</v>
      </c>
      <c r="P76" s="186">
        <v>32</v>
      </c>
      <c r="Q76" s="184">
        <v>5314</v>
      </c>
    </row>
    <row r="77" spans="2:17" ht="12.75">
      <c r="B77" s="89" t="s">
        <v>175</v>
      </c>
      <c r="C77" s="88">
        <v>0</v>
      </c>
      <c r="D77" s="88">
        <v>0</v>
      </c>
      <c r="E77" s="81" t="s">
        <v>3</v>
      </c>
      <c r="F77" s="88">
        <v>52</v>
      </c>
      <c r="G77" s="88">
        <v>6</v>
      </c>
      <c r="H77" s="81">
        <v>0.11538461538461539</v>
      </c>
      <c r="I77" s="88">
        <v>0</v>
      </c>
      <c r="J77" s="88">
        <v>0</v>
      </c>
      <c r="K77" s="81" t="s">
        <v>3</v>
      </c>
      <c r="L77" s="88">
        <v>112</v>
      </c>
      <c r="M77" s="88">
        <v>88</v>
      </c>
      <c r="N77" s="81">
        <v>0.7857142857142857</v>
      </c>
      <c r="O77" s="88">
        <v>0</v>
      </c>
      <c r="P77" s="186">
        <v>4</v>
      </c>
      <c r="Q77" s="184">
        <v>12431</v>
      </c>
    </row>
    <row r="78" spans="2:17" ht="17.25" customHeight="1">
      <c r="B78" s="429" t="s">
        <v>385</v>
      </c>
      <c r="C78" s="429"/>
      <c r="D78" s="429"/>
      <c r="E78" s="429"/>
      <c r="F78" s="429"/>
      <c r="G78" s="429"/>
      <c r="H78" s="429"/>
      <c r="I78" s="429"/>
      <c r="J78" s="429"/>
      <c r="K78" s="429"/>
      <c r="L78" s="429"/>
      <c r="M78" s="429"/>
      <c r="N78" s="429"/>
      <c r="O78" s="429"/>
      <c r="P78" s="429"/>
      <c r="Q78" s="429"/>
    </row>
    <row r="79" spans="2:17" ht="27" customHeight="1">
      <c r="B79" s="92"/>
      <c r="C79" s="437" t="s">
        <v>268</v>
      </c>
      <c r="D79" s="437"/>
      <c r="E79" s="437"/>
      <c r="F79" s="437"/>
      <c r="G79" s="437"/>
      <c r="H79" s="437"/>
      <c r="I79" s="437"/>
      <c r="J79" s="437"/>
      <c r="K79" s="437"/>
      <c r="L79" s="437"/>
      <c r="M79" s="437"/>
      <c r="N79" s="437"/>
      <c r="O79" s="437"/>
      <c r="P79" s="437"/>
      <c r="Q79" s="437"/>
    </row>
    <row r="80" spans="2:17" ht="12.75">
      <c r="B80" s="142"/>
      <c r="C80" s="432" t="s">
        <v>172</v>
      </c>
      <c r="D80" s="433"/>
      <c r="E80" s="434"/>
      <c r="F80" s="432" t="s">
        <v>173</v>
      </c>
      <c r="G80" s="433"/>
      <c r="H80" s="434"/>
      <c r="I80" s="432" t="s">
        <v>174</v>
      </c>
      <c r="J80" s="433"/>
      <c r="K80" s="434"/>
      <c r="L80" s="432" t="s">
        <v>175</v>
      </c>
      <c r="M80" s="433"/>
      <c r="N80" s="43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40" t="s">
        <v>237</v>
      </c>
      <c r="D82" s="441"/>
      <c r="E82" s="442"/>
      <c r="F82" s="440" t="s">
        <v>306</v>
      </c>
      <c r="G82" s="441"/>
      <c r="H82" s="442"/>
      <c r="I82" s="447" t="s">
        <v>35</v>
      </c>
      <c r="J82" s="441"/>
      <c r="K82" s="442"/>
      <c r="L82" s="440" t="s">
        <v>34</v>
      </c>
      <c r="M82" s="441"/>
      <c r="N82" s="442"/>
      <c r="O82" s="94" t="s">
        <v>235</v>
      </c>
      <c r="P82" s="94" t="s">
        <v>36</v>
      </c>
      <c r="Q82" s="95" t="s">
        <v>37</v>
      </c>
    </row>
    <row r="83" spans="2:17" ht="12.75">
      <c r="B83" s="80" t="s">
        <v>258</v>
      </c>
      <c r="C83" s="219">
        <v>77537</v>
      </c>
      <c r="D83" s="219">
        <v>41713</v>
      </c>
      <c r="E83" s="215">
        <v>0.537975418187446</v>
      </c>
      <c r="F83" s="219">
        <v>95448</v>
      </c>
      <c r="G83" s="219">
        <v>57803</v>
      </c>
      <c r="H83" s="215">
        <v>0.6055967647305339</v>
      </c>
      <c r="I83" s="219">
        <v>72201</v>
      </c>
      <c r="J83" s="219">
        <v>26893</v>
      </c>
      <c r="K83" s="215">
        <v>0.37247406545615713</v>
      </c>
      <c r="L83" s="219">
        <v>13529</v>
      </c>
      <c r="M83" s="219">
        <v>7677</v>
      </c>
      <c r="N83" s="215">
        <v>0.5674477049301501</v>
      </c>
      <c r="O83" s="219">
        <v>19854</v>
      </c>
      <c r="P83" s="219">
        <v>11929</v>
      </c>
      <c r="Q83" s="219">
        <v>2209</v>
      </c>
    </row>
    <row r="84" spans="2:17" ht="12.75">
      <c r="B84" s="98" t="s">
        <v>195</v>
      </c>
      <c r="C84" s="96">
        <v>36661</v>
      </c>
      <c r="D84" s="96">
        <v>23210</v>
      </c>
      <c r="E84" s="97">
        <v>0.6330978423938245</v>
      </c>
      <c r="F84" s="96">
        <v>46032</v>
      </c>
      <c r="G84" s="96">
        <v>33743</v>
      </c>
      <c r="H84" s="97">
        <v>0.7330335418839069</v>
      </c>
      <c r="I84" s="96">
        <v>28210</v>
      </c>
      <c r="J84" s="96">
        <v>11648</v>
      </c>
      <c r="K84" s="97">
        <v>0.4129032258064516</v>
      </c>
      <c r="L84" s="96">
        <v>7305</v>
      </c>
      <c r="M84" s="96">
        <v>3524</v>
      </c>
      <c r="N84" s="97">
        <v>0.48240930869267623</v>
      </c>
      <c r="O84" s="96">
        <v>9024</v>
      </c>
      <c r="P84" s="96">
        <v>5329</v>
      </c>
      <c r="Q84" s="96">
        <v>744</v>
      </c>
    </row>
    <row r="85" spans="1:17" ht="12.75">
      <c r="A85" s="99"/>
      <c r="B85" s="98" t="s">
        <v>283</v>
      </c>
      <c r="C85" s="96">
        <v>16041</v>
      </c>
      <c r="D85" s="96">
        <v>4908</v>
      </c>
      <c r="E85" s="97">
        <v>0.3059659622218066</v>
      </c>
      <c r="F85" s="96">
        <v>16481</v>
      </c>
      <c r="G85" s="96">
        <v>2827</v>
      </c>
      <c r="H85" s="97">
        <v>0.1715308537103331</v>
      </c>
      <c r="I85" s="96">
        <v>19708</v>
      </c>
      <c r="J85" s="96">
        <v>5131</v>
      </c>
      <c r="K85" s="97">
        <v>0.26035112644611325</v>
      </c>
      <c r="L85" s="96">
        <v>557</v>
      </c>
      <c r="M85" s="96">
        <v>298</v>
      </c>
      <c r="N85" s="97">
        <v>0.5350089766606823</v>
      </c>
      <c r="O85" s="96">
        <v>2347</v>
      </c>
      <c r="P85" s="96">
        <v>1555</v>
      </c>
      <c r="Q85" s="96">
        <v>699</v>
      </c>
    </row>
    <row r="86" spans="2:17" ht="12.75">
      <c r="B86" s="101" t="s">
        <v>288</v>
      </c>
      <c r="C86" s="96">
        <v>24438</v>
      </c>
      <c r="D86" s="96">
        <v>13407</v>
      </c>
      <c r="E86" s="97">
        <v>0.5486128161060643</v>
      </c>
      <c r="F86" s="96">
        <v>32160</v>
      </c>
      <c r="G86" s="96">
        <v>20674</v>
      </c>
      <c r="H86" s="97">
        <v>0.6428482587064677</v>
      </c>
      <c r="I86" s="96">
        <v>24056</v>
      </c>
      <c r="J86" s="96">
        <v>9942</v>
      </c>
      <c r="K86" s="97">
        <v>0.4132856667775191</v>
      </c>
      <c r="L86" s="96">
        <v>5268</v>
      </c>
      <c r="M86" s="96">
        <v>3548</v>
      </c>
      <c r="N86" s="97">
        <v>0.6735003796507213</v>
      </c>
      <c r="O86" s="96">
        <v>8400</v>
      </c>
      <c r="P86" s="96">
        <v>5045</v>
      </c>
      <c r="Q86" s="96">
        <v>766</v>
      </c>
    </row>
    <row r="87" spans="2:17" ht="12.75">
      <c r="B87" s="101" t="s">
        <v>317</v>
      </c>
      <c r="C87" s="96">
        <v>397</v>
      </c>
      <c r="D87" s="96">
        <v>188</v>
      </c>
      <c r="E87" s="97">
        <v>0.473551637279597</v>
      </c>
      <c r="F87" s="96">
        <v>775</v>
      </c>
      <c r="G87" s="96">
        <v>559</v>
      </c>
      <c r="H87" s="97">
        <v>0.7212903225806452</v>
      </c>
      <c r="I87" s="96">
        <v>227</v>
      </c>
      <c r="J87" s="96">
        <v>172</v>
      </c>
      <c r="K87" s="97">
        <v>0.7577092511013216</v>
      </c>
      <c r="L87" s="96">
        <v>399</v>
      </c>
      <c r="M87" s="96">
        <v>307</v>
      </c>
      <c r="N87" s="97">
        <v>0.7694235588972431</v>
      </c>
      <c r="O87" s="96">
        <v>83</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48" t="s">
        <v>342</v>
      </c>
      <c r="D89" s="448"/>
      <c r="E89" s="448"/>
      <c r="F89" s="448"/>
      <c r="G89" s="448"/>
      <c r="H89" s="448"/>
      <c r="I89" s="448"/>
      <c r="J89" s="448"/>
    </row>
    <row r="90" spans="2:10" ht="12.75">
      <c r="B90" s="100"/>
      <c r="C90" s="432" t="s">
        <v>333</v>
      </c>
      <c r="D90" s="433"/>
      <c r="E90" s="433"/>
      <c r="F90" s="433"/>
      <c r="G90" s="432" t="s">
        <v>349</v>
      </c>
      <c r="H90" s="433"/>
      <c r="I90" s="433"/>
      <c r="J90" s="43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18004</v>
      </c>
      <c r="D92" s="214">
        <v>18830</v>
      </c>
      <c r="E92" s="214">
        <v>-826</v>
      </c>
      <c r="F92" s="215">
        <v>-0.04386617100371747</v>
      </c>
      <c r="G92" s="290">
        <v>144463</v>
      </c>
      <c r="H92" s="214">
        <v>155856</v>
      </c>
      <c r="I92" s="214">
        <v>-11393</v>
      </c>
      <c r="J92" s="215">
        <v>-0.07309952776922288</v>
      </c>
    </row>
    <row r="93" spans="2:10" ht="12.75">
      <c r="B93" s="273" t="s">
        <v>334</v>
      </c>
      <c r="C93" s="221">
        <v>5930</v>
      </c>
      <c r="D93" s="221">
        <v>5647</v>
      </c>
      <c r="E93" s="221">
        <v>283</v>
      </c>
      <c r="F93" s="97">
        <v>0.050115105365680895</v>
      </c>
      <c r="G93" s="221">
        <v>24063</v>
      </c>
      <c r="H93" s="221">
        <v>25676</v>
      </c>
      <c r="I93" s="221">
        <v>-1613</v>
      </c>
      <c r="J93" s="97">
        <v>-0.06282131173079919</v>
      </c>
    </row>
    <row r="94" spans="2:10" ht="12.75">
      <c r="B94" s="274" t="s">
        <v>335</v>
      </c>
      <c r="C94" s="221">
        <v>4209</v>
      </c>
      <c r="D94" s="221">
        <v>4571</v>
      </c>
      <c r="E94" s="221">
        <v>-362</v>
      </c>
      <c r="F94" s="97">
        <v>-0.07919492452417413</v>
      </c>
      <c r="G94" s="221">
        <v>34632</v>
      </c>
      <c r="H94" s="221">
        <v>36585</v>
      </c>
      <c r="I94" s="221">
        <v>-1953</v>
      </c>
      <c r="J94" s="97">
        <v>-0.05338253382533825</v>
      </c>
    </row>
    <row r="95" spans="2:10" ht="12.75">
      <c r="B95" s="273" t="s">
        <v>336</v>
      </c>
      <c r="C95" s="221">
        <v>2273</v>
      </c>
      <c r="D95" s="221">
        <v>3087</v>
      </c>
      <c r="E95" s="221">
        <v>-814</v>
      </c>
      <c r="F95" s="97">
        <v>-0.26368642695173306</v>
      </c>
      <c r="G95" s="221">
        <v>49118</v>
      </c>
      <c r="H95" s="221">
        <v>55127</v>
      </c>
      <c r="I95" s="221">
        <v>-6009</v>
      </c>
      <c r="J95" s="97">
        <v>-0.10900284796923468</v>
      </c>
    </row>
    <row r="96" spans="2:10" ht="12.75">
      <c r="B96" s="275" t="s">
        <v>337</v>
      </c>
      <c r="C96" s="221">
        <v>5592</v>
      </c>
      <c r="D96" s="221">
        <v>5525</v>
      </c>
      <c r="E96" s="221">
        <v>67</v>
      </c>
      <c r="F96" s="97">
        <v>0.012126696832579185</v>
      </c>
      <c r="G96" s="221">
        <v>36650</v>
      </c>
      <c r="H96" s="221">
        <v>38468</v>
      </c>
      <c r="I96" s="221">
        <v>-1818</v>
      </c>
      <c r="J96" s="97">
        <v>-0.04726006030986794</v>
      </c>
    </row>
    <row r="97" spans="2:10" ht="31.5" customHeight="1">
      <c r="B97" s="443" t="s">
        <v>356</v>
      </c>
      <c r="C97" s="444"/>
      <c r="D97" s="444"/>
      <c r="E97" s="445"/>
      <c r="F97" s="445"/>
      <c r="G97" s="445"/>
      <c r="H97" s="445"/>
      <c r="I97" s="445"/>
      <c r="J97" s="446"/>
    </row>
    <row r="99" spans="2:10" ht="30" customHeight="1">
      <c r="B99" s="423"/>
      <c r="C99" s="423"/>
      <c r="D99" s="423"/>
      <c r="E99" s="423"/>
      <c r="F99" s="423"/>
      <c r="G99" s="423"/>
      <c r="H99" s="423"/>
      <c r="I99" s="423"/>
      <c r="J99" s="423"/>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9" t="s">
        <v>172</v>
      </c>
      <c r="D2" s="450"/>
      <c r="E2" s="451"/>
      <c r="F2" s="36"/>
      <c r="G2" s="36"/>
      <c r="H2" s="36"/>
      <c r="I2" s="36"/>
      <c r="J2" s="36"/>
      <c r="K2" s="36"/>
      <c r="L2" s="36"/>
      <c r="M2" s="36"/>
      <c r="N2" s="36"/>
      <c r="O2" s="36"/>
      <c r="P2" s="36"/>
      <c r="Q2" s="36"/>
    </row>
    <row r="3" spans="2:17" s="3" customFormat="1" ht="54" customHeight="1">
      <c r="B3" s="4"/>
      <c r="C3" s="37" t="s">
        <v>179</v>
      </c>
      <c r="D3" s="38" t="s">
        <v>32</v>
      </c>
      <c r="E3" s="39" t="s">
        <v>180</v>
      </c>
      <c r="F3" s="457" t="s">
        <v>261</v>
      </c>
      <c r="G3" s="458"/>
      <c r="H3" s="458"/>
      <c r="I3" s="458"/>
      <c r="J3" s="458"/>
      <c r="K3" s="458"/>
      <c r="L3" s="458"/>
      <c r="M3" s="458"/>
      <c r="N3" s="458"/>
      <c r="O3" s="458"/>
      <c r="P3" s="458"/>
      <c r="Q3" s="44"/>
    </row>
    <row r="4" spans="2:17" s="3" customFormat="1" ht="15">
      <c r="B4" s="40" t="s">
        <v>69</v>
      </c>
      <c r="C4" s="41">
        <f>B11+B76</f>
        <v>900677</v>
      </c>
      <c r="D4" s="42">
        <f>C11+C76</f>
        <v>616551</v>
      </c>
      <c r="E4" s="43">
        <f>D4/C4</f>
        <v>0.6845417391584331</v>
      </c>
      <c r="F4" s="36"/>
      <c r="G4" s="36"/>
      <c r="H4" s="36"/>
      <c r="I4" s="36"/>
      <c r="J4" s="36"/>
      <c r="K4" s="36"/>
      <c r="L4" s="36"/>
      <c r="M4" s="36"/>
      <c r="N4" s="36"/>
      <c r="O4" s="36"/>
      <c r="P4" s="36"/>
      <c r="Q4" s="36"/>
    </row>
    <row r="6" spans="2:17" ht="20.25" customHeight="1">
      <c r="B6" s="460" t="s">
        <v>183</v>
      </c>
      <c r="C6" s="460"/>
      <c r="D6" s="460"/>
      <c r="E6" s="460"/>
      <c r="F6" s="460"/>
      <c r="G6" s="460"/>
      <c r="H6" s="460"/>
      <c r="I6" s="460"/>
      <c r="J6" s="460"/>
      <c r="K6" s="460"/>
      <c r="L6" s="460"/>
      <c r="M6" s="460"/>
      <c r="N6" s="460"/>
      <c r="O6" s="460"/>
      <c r="P6" s="460"/>
      <c r="Q6" s="384"/>
    </row>
    <row r="7" spans="1:17" s="3" customFormat="1" ht="15">
      <c r="A7" s="4"/>
      <c r="B7" s="449" t="s">
        <v>172</v>
      </c>
      <c r="C7" s="450"/>
      <c r="D7" s="451"/>
      <c r="E7" s="449" t="s">
        <v>173</v>
      </c>
      <c r="F7" s="450"/>
      <c r="G7" s="451"/>
      <c r="H7" s="449" t="s">
        <v>174</v>
      </c>
      <c r="I7" s="450"/>
      <c r="J7" s="451"/>
      <c r="K7" s="449" t="s">
        <v>175</v>
      </c>
      <c r="L7" s="450"/>
      <c r="M7" s="451"/>
      <c r="N7" s="13" t="s">
        <v>176</v>
      </c>
      <c r="O7" s="11" t="s">
        <v>177</v>
      </c>
      <c r="P7" s="13" t="s">
        <v>178</v>
      </c>
      <c r="Q7" s="385"/>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86"/>
    </row>
    <row r="9" spans="2:17" s="2" customFormat="1" ht="41.25" customHeight="1">
      <c r="B9" s="461" t="s">
        <v>395</v>
      </c>
      <c r="C9" s="462"/>
      <c r="D9" s="463"/>
      <c r="E9" s="461" t="s">
        <v>316</v>
      </c>
      <c r="F9" s="462"/>
      <c r="G9" s="463"/>
      <c r="H9" s="464" t="s">
        <v>398</v>
      </c>
      <c r="I9" s="462"/>
      <c r="J9" s="463"/>
      <c r="K9" s="461" t="s">
        <v>387</v>
      </c>
      <c r="L9" s="462"/>
      <c r="M9" s="463"/>
      <c r="N9" s="12" t="s">
        <v>22</v>
      </c>
      <c r="O9" s="12" t="s">
        <v>259</v>
      </c>
      <c r="P9" s="15" t="s">
        <v>260</v>
      </c>
      <c r="Q9" s="387"/>
    </row>
    <row r="10" spans="11:26" ht="13.5" thickBot="1">
      <c r="K10" s="1"/>
      <c r="Q10" s="384"/>
      <c r="R10" s="299" t="s">
        <v>423</v>
      </c>
      <c r="S10" s="299"/>
      <c r="T10" s="299"/>
      <c r="U10" s="299"/>
      <c r="V10" s="299"/>
      <c r="W10" s="299"/>
      <c r="X10" s="299"/>
      <c r="Y10" s="299"/>
      <c r="Z10" s="299"/>
    </row>
    <row r="11" spans="1:26" ht="15.75" thickBot="1">
      <c r="A11" s="45" t="s">
        <v>485</v>
      </c>
      <c r="B11" s="47">
        <f>SUM(B12:B70)</f>
        <v>823140</v>
      </c>
      <c r="C11" s="47">
        <f>SUM(C12:C70)</f>
        <v>574838</v>
      </c>
      <c r="D11" s="46">
        <f>C11/B11</f>
        <v>0.6983477901693516</v>
      </c>
      <c r="E11" s="47">
        <f>SUM(E12:E70)</f>
        <v>301568</v>
      </c>
      <c r="F11" s="47">
        <f>SUM(F12:F70)</f>
        <v>198871</v>
      </c>
      <c r="G11" s="46">
        <f>F11/E11</f>
        <v>0.6594565736417657</v>
      </c>
      <c r="H11" s="47">
        <f>SUM(H12:H70)</f>
        <v>71567</v>
      </c>
      <c r="I11" s="47">
        <f>SUM(I12:I70)</f>
        <v>36765</v>
      </c>
      <c r="J11" s="46">
        <f>I11/H11</f>
        <v>0.5137144214512275</v>
      </c>
      <c r="K11" s="47">
        <f>SUM(K12:K70)</f>
        <v>86414</v>
      </c>
      <c r="L11" s="47">
        <f>SUM(L12:L70)</f>
        <v>58312</v>
      </c>
      <c r="M11" s="46">
        <f>L11/K11</f>
        <v>0.6747980651283357</v>
      </c>
      <c r="N11" s="47">
        <f>SUM(N12:N70)</f>
        <v>44125</v>
      </c>
      <c r="O11" s="47">
        <f>SUM(O12:O70)</f>
        <v>1169</v>
      </c>
      <c r="P11" s="303">
        <f>SUM(P12:P70)</f>
        <v>250158</v>
      </c>
      <c r="Q11" s="295"/>
      <c r="R11" s="383">
        <f>P11+P76</f>
        <v>252389</v>
      </c>
      <c r="S11" s="299"/>
      <c r="T11" s="299"/>
      <c r="U11" s="299"/>
      <c r="V11" s="299"/>
      <c r="W11" s="299"/>
      <c r="X11" s="299"/>
      <c r="Y11" s="299"/>
      <c r="Z11" s="299"/>
    </row>
    <row r="12" spans="1:26" ht="12" customHeight="1">
      <c r="A12" s="322" t="s">
        <v>431</v>
      </c>
      <c r="B12" s="301">
        <f>IF(ISNA(VLOOKUP(A12,Entitlement_Data!A$3:C$64,2,FALSE)),"0",VLOOKUP(A12,Entitlement_Data!A$3:C$64,2,FALSE))</f>
        <v>20055</v>
      </c>
      <c r="C12" s="301">
        <f>IF(ISNA(VLOOKUP(A12,Entitlement_Data!A$3:D$64,3,FALSE)),"0",VLOOKUP(A12,Entitlement_Data!A$3:D$64,3,FALSE))</f>
        <v>16729</v>
      </c>
      <c r="D12" s="25">
        <f aca="true" t="shared" si="0" ref="D12:D56">C12/B12</f>
        <v>0.8341560708052854</v>
      </c>
      <c r="E12" s="352">
        <f>IF(ISNA(VLOOKUP(A12,'Award Adjustment_Data'!A$2:F$68,3,FALSE)),"0",VLOOKUP(A12,'Award Adjustment_Data'!A$2:F$68,3,FALSE))</f>
        <v>5790</v>
      </c>
      <c r="F12" s="352">
        <f>IF(ISNA(VLOOKUP(A12,'Award Adjustment_Data'!A$2:G$68,4,FALSE)),"0",VLOOKUP(A12,'Award Adjustment_Data'!A$2:G$68,4,FALSE))</f>
        <v>4772</v>
      </c>
      <c r="G12" s="25">
        <f aca="true" t="shared" si="1" ref="G12:G70">F12/E12</f>
        <v>0.8241796200345423</v>
      </c>
      <c r="H12" s="1">
        <f>IF(ISNA(VLOOKUP($A12,Program_Review_Data!A2:E66,2,FALSE)),"0",VLOOKUP($A12,Program_Review_Data!A2:E66,2,FALSE))</f>
        <v>909</v>
      </c>
      <c r="I12" s="1">
        <f>IF(ISNA(VLOOKUP($A12,Program_Review_Data!A2:F66,3,FALSE)),"0",VLOOKUP($A12,Program_Review_Data!A2:F66,3,FALSE))</f>
        <v>453</v>
      </c>
      <c r="J12" s="25">
        <f aca="true" t="shared" si="2" ref="J12:J56">I12/H12</f>
        <v>0.49834983498349833</v>
      </c>
      <c r="K12" s="1">
        <f>IF(ISNA(VLOOKUP($A12,Other_Data!A2:E66,2,FALSE)),"0",VLOOKUP($A12,Other_Data!A2:E66,2,FALSE))</f>
        <v>2341</v>
      </c>
      <c r="L12" s="1">
        <f>IF(ISNA(VLOOKUP($A12,Other_Data!A2:E66,3,FALSE)),"0",VLOOKUP($A12,Other_Data!A2:E66,3,FALSE))</f>
        <v>1764</v>
      </c>
      <c r="M12" s="25">
        <f aca="true" t="shared" si="3" ref="M12:M70">L12/K12</f>
        <v>0.7535241349850491</v>
      </c>
      <c r="N12" s="1">
        <f>IF(ISNA(VLOOKUP($A12,Burial_Data!$A$2:$C$65,2,FALSE)),"0",VLOOKUP($A12,Burial_Data!$A$2:$C$65,2,FALSE))</f>
        <v>1</v>
      </c>
      <c r="O12" s="1">
        <f>IF(ISNA(VLOOKUP($A12,Accrued_Data!$A$2:$D$65,3,FALSE)),"0",VLOOKUP($A12,Accrued_Data!$A$2:$D$65,3,FALSE))</f>
        <v>4</v>
      </c>
      <c r="P12" s="302">
        <f>'[1]ResultingReport'!$J8</f>
        <v>3493</v>
      </c>
      <c r="Q12" s="295"/>
      <c r="R12" s="299" t="s">
        <v>396</v>
      </c>
      <c r="S12" s="299"/>
      <c r="T12" s="299"/>
      <c r="U12" s="299"/>
      <c r="V12" s="299"/>
      <c r="W12" s="299"/>
      <c r="X12" s="299"/>
      <c r="Y12" s="299"/>
      <c r="Z12" s="299"/>
    </row>
    <row r="13" spans="1:17" ht="12" customHeight="1">
      <c r="A13" s="322" t="s">
        <v>433</v>
      </c>
      <c r="B13" s="301">
        <f>IF(ISNA(VLOOKUP(A13,Entitlement_Data!A$3:C$64,2,FALSE)),"0",VLOOKUP(A13,Entitlement_Data!A$3:C$64,2,FALSE))</f>
        <v>11449</v>
      </c>
      <c r="C13" s="301">
        <f>IF(ISNA(VLOOKUP(A13,Entitlement_Data!A$3:D$64,3,FALSE)),"0",VLOOKUP(A13,Entitlement_Data!A$3:D$64,3,FALSE))</f>
        <v>9066</v>
      </c>
      <c r="D13" s="25">
        <f t="shared" si="0"/>
        <v>0.7918595510524936</v>
      </c>
      <c r="E13" s="352">
        <f>IF(ISNA(VLOOKUP(A13,'Award Adjustment_Data'!A$2:F$68,3,FALSE)),"0",VLOOKUP(A13,'Award Adjustment_Data'!A$2:F$68,3,FALSE))</f>
        <v>4287</v>
      </c>
      <c r="F13" s="352">
        <f>IF(ISNA(VLOOKUP(A13,'Award Adjustment_Data'!A$2:G$68,4,FALSE)),"0",VLOOKUP(A13,'Award Adjustment_Data'!A$2:G$68,4,FALSE))</f>
        <v>3163</v>
      </c>
      <c r="G13" s="25">
        <f t="shared" si="1"/>
        <v>0.7378119897364124</v>
      </c>
      <c r="H13" s="1">
        <f>IF(ISNA(VLOOKUP(A13,Program_Review_Data!A3:E67,2,FALSE)),"0",VLOOKUP(A13,Program_Review_Data!A3:E67,2,FALSE))</f>
        <v>1457</v>
      </c>
      <c r="I13" s="1">
        <f>IF(ISNA(VLOOKUP($A13,Program_Review_Data!A3:F67,3,FALSE)),"0",VLOOKUP($A13,Program_Review_Data!A3:F67,3,FALSE))</f>
        <v>688</v>
      </c>
      <c r="J13" s="25">
        <f t="shared" si="2"/>
        <v>0.4722031571722718</v>
      </c>
      <c r="K13" s="1">
        <f>IF(ISNA(VLOOKUP($A13,Other_Data!A3:E67,2,FALSE)),"0",VLOOKUP($A13,Other_Data!A3:E67,2,FALSE))</f>
        <v>796</v>
      </c>
      <c r="L13" s="1">
        <f>IF(ISNA(VLOOKUP($A13,Other_Data!A3:E67,3,FALSE)),"0",VLOOKUP($A13,Other_Data!A3:E67,3,FALSE))</f>
        <v>616</v>
      </c>
      <c r="M13" s="25">
        <f t="shared" si="3"/>
        <v>0.7738693467336684</v>
      </c>
      <c r="N13" s="1">
        <f>IF(ISNA(VLOOKUP($A13,Burial_Data!$A$2:$C$65,2,FALSE)),"0",VLOOKUP($A13,Burial_Data!$A$2:$C$65,2,FALSE))</f>
        <v>0</v>
      </c>
      <c r="O13" s="352">
        <f>IF(ISNA(VLOOKUP($A13,Accrued_Data!$A$2:$D$65,3,FALSE)),"0",VLOOKUP($A13,Accrued_Data!$A$2:$D$65,3,FALSE))</f>
        <v>1</v>
      </c>
      <c r="P13" s="302">
        <f>'[1]ResultingReport'!$J9</f>
        <v>4057</v>
      </c>
      <c r="Q13" s="295"/>
    </row>
    <row r="14" spans="1:17" ht="12" customHeight="1">
      <c r="A14" s="322" t="s">
        <v>334</v>
      </c>
      <c r="B14" s="301">
        <f>IF(ISNA(VLOOKUP(A14,Entitlement_Data!A$3:C$64,2,FALSE)),"0",VLOOKUP(A14,Entitlement_Data!A$3:C$64,2,FALSE))</f>
        <v>8229</v>
      </c>
      <c r="C14" s="301">
        <f>IF(ISNA(VLOOKUP(A14,Entitlement_Data!A$3:D$64,3,FALSE)),"0",VLOOKUP(A14,Entitlement_Data!A$3:D$64,3,FALSE))</f>
        <v>5167</v>
      </c>
      <c r="D14" s="25">
        <f t="shared" si="0"/>
        <v>0.627901324583789</v>
      </c>
      <c r="E14" s="352">
        <f>IF(ISNA(VLOOKUP(A14,'Award Adjustment_Data'!A$2:F$68,3,FALSE)),"0",VLOOKUP(A14,'Award Adjustment_Data'!A$2:F$68,3,FALSE))</f>
        <v>3802</v>
      </c>
      <c r="F14" s="352">
        <f>IF(ISNA(VLOOKUP(A14,'Award Adjustment_Data'!A$2:G$68,4,FALSE)),"0",VLOOKUP(A14,'Award Adjustment_Data'!A$2:G$68,4,FALSE))</f>
        <v>2387</v>
      </c>
      <c r="G14" s="25">
        <f t="shared" si="1"/>
        <v>0.6278274592319831</v>
      </c>
      <c r="H14" s="1">
        <f>IF(ISNA(VLOOKUP(A14,Program_Review_Data!A4:E68,2,FALSE)),"0",VLOOKUP(A14,Program_Review_Data!A4:E68,2,FALSE))</f>
        <v>374</v>
      </c>
      <c r="I14" s="1">
        <f>IF(ISNA(VLOOKUP($A14,Program_Review_Data!A4:F68,3,FALSE)),"0",VLOOKUP($A14,Program_Review_Data!A4:F68,3,FALSE))</f>
        <v>126</v>
      </c>
      <c r="J14" s="25">
        <f t="shared" si="2"/>
        <v>0.33689839572192515</v>
      </c>
      <c r="K14" s="1">
        <f>IF(ISNA(VLOOKUP($A14,Other_Data!A4:E68,2,FALSE)),"0",VLOOKUP($A14,Other_Data!A4:E68,2,FALSE))</f>
        <v>585</v>
      </c>
      <c r="L14" s="1">
        <f>IF(ISNA(VLOOKUP($A14,Other_Data!A4:E68,3,FALSE)),"0",VLOOKUP($A14,Other_Data!A4:E68,3,FALSE))</f>
        <v>386</v>
      </c>
      <c r="M14" s="25">
        <f t="shared" si="3"/>
        <v>0.6598290598290598</v>
      </c>
      <c r="N14" s="1">
        <f>IF(ISNA(VLOOKUP($A14,Burial_Data!$A$2:$C$65,2,FALSE)),"0",VLOOKUP($A14,Burial_Data!$A$2:$C$65,2,FALSE))</f>
        <v>0</v>
      </c>
      <c r="O14" s="1">
        <f>IF(ISNA(VLOOKUP($A14,Accrued_Data!$A$2:$D$65,3,FALSE)),"0",VLOOKUP($A14,Accrued_Data!$A$2:$D$65,3,FALSE))</f>
        <v>1</v>
      </c>
      <c r="P14" s="302">
        <f>'[1]ResultingReport'!$J10</f>
        <v>1179</v>
      </c>
      <c r="Q14" s="295"/>
    </row>
    <row r="15" spans="1:17" ht="12" customHeight="1">
      <c r="A15" s="322" t="s">
        <v>436</v>
      </c>
      <c r="B15" s="301">
        <f>IF(ISNA(VLOOKUP(A15,Entitlement_Data!A$3:C$64,2,FALSE)),"0",VLOOKUP(A15,Entitlement_Data!A$3:C$64,2,FALSE))</f>
        <v>24009</v>
      </c>
      <c r="C15" s="301">
        <f>IF(ISNA(VLOOKUP(A15,Entitlement_Data!A$3:D$64,3,FALSE)),"0",VLOOKUP(A15,Entitlement_Data!A$3:D$64,3,FALSE))</f>
        <v>17987</v>
      </c>
      <c r="D15" s="25">
        <f t="shared" si="0"/>
        <v>0.7491773918114041</v>
      </c>
      <c r="E15" s="352">
        <f>IF(ISNA(VLOOKUP(A15,'Award Adjustment_Data'!A$2:F$68,3,FALSE)),"0",VLOOKUP(A15,'Award Adjustment_Data'!A$2:F$68,3,FALSE))</f>
        <v>6946</v>
      </c>
      <c r="F15" s="352">
        <f>IF(ISNA(VLOOKUP(A15,'Award Adjustment_Data'!A$2:G$68,4,FALSE)),"0",VLOOKUP(A15,'Award Adjustment_Data'!A$2:G$68,4,FALSE))</f>
        <v>4762</v>
      </c>
      <c r="G15" s="25">
        <f t="shared" si="1"/>
        <v>0.6855744313273827</v>
      </c>
      <c r="H15" s="1">
        <f>IF(ISNA(VLOOKUP(A15,Program_Review_Data!A5:E69,2,FALSE)),"0",VLOOKUP(A15,Program_Review_Data!A5:E69,2,FALSE))</f>
        <v>2188</v>
      </c>
      <c r="I15" s="1">
        <f>IF(ISNA(VLOOKUP($A15,Program_Review_Data!A5:F69,3,FALSE)),"0",VLOOKUP($A15,Program_Review_Data!A5:F69,3,FALSE))</f>
        <v>1150</v>
      </c>
      <c r="J15" s="25">
        <f t="shared" si="2"/>
        <v>0.5255941499085923</v>
      </c>
      <c r="K15" s="1">
        <f>IF(ISNA(VLOOKUP($A15,Other_Data!A5:E69,2,FALSE)),"0",VLOOKUP($A15,Other_Data!A5:E69,2,FALSE))</f>
        <v>2201</v>
      </c>
      <c r="L15" s="1">
        <f>IF(ISNA(VLOOKUP($A15,Other_Data!A5:E69,3,FALSE)),"0",VLOOKUP($A15,Other_Data!A5:E69,3,FALSE))</f>
        <v>1448</v>
      </c>
      <c r="M15" s="25">
        <f t="shared" si="3"/>
        <v>0.6578827805542935</v>
      </c>
      <c r="N15" s="1">
        <f>IF(ISNA(VLOOKUP($A15,Burial_Data!$A$2:$C$65,2,FALSE)),"0",VLOOKUP($A15,Burial_Data!$A$2:$C$65,2,FALSE))</f>
        <v>12</v>
      </c>
      <c r="O15" s="1">
        <f>IF(ISNA(VLOOKUP($A15,Accrued_Data!$A$2:$D$65,3,FALSE)),"0",VLOOKUP($A15,Accrued_Data!$A$2:$D$65,3,FALSE))</f>
        <v>77</v>
      </c>
      <c r="P15" s="302">
        <f>'[1]ResultingReport'!$J11</f>
        <v>8127</v>
      </c>
      <c r="Q15" s="295"/>
    </row>
    <row r="16" spans="1:17" ht="12" customHeight="1">
      <c r="A16" s="322" t="s">
        <v>440</v>
      </c>
      <c r="B16" s="301">
        <f>IF(ISNA(VLOOKUP(A16,Entitlement_Data!A$3:C$64,2,FALSE)),"0",VLOOKUP(A16,Entitlement_Data!A$3:C$64,2,FALSE))</f>
        <v>16922</v>
      </c>
      <c r="C16" s="301">
        <f>IF(ISNA(VLOOKUP(A16,Entitlement_Data!A$3:D$64,3,FALSE)),"0",VLOOKUP(A16,Entitlement_Data!A$3:D$64,3,FALSE))</f>
        <v>10411</v>
      </c>
      <c r="D16" s="25">
        <f t="shared" si="0"/>
        <v>0.6152346058385534</v>
      </c>
      <c r="E16" s="352">
        <f>IF(ISNA(VLOOKUP(A16,'Award Adjustment_Data'!A$2:F$68,3,FALSE)),"0",VLOOKUP(A16,'Award Adjustment_Data'!A$2:F$68,3,FALSE))</f>
        <v>5358</v>
      </c>
      <c r="F16" s="352">
        <f>IF(ISNA(VLOOKUP(A16,'Award Adjustment_Data'!A$2:G$68,4,FALSE)),"0",VLOOKUP(A16,'Award Adjustment_Data'!A$2:G$68,4,FALSE))</f>
        <v>3364</v>
      </c>
      <c r="G16" s="25">
        <f t="shared" si="1"/>
        <v>0.627846211272863</v>
      </c>
      <c r="H16" s="1">
        <f>IF(ISNA(VLOOKUP(A16,Program_Review_Data!A6:E70,2,FALSE)),"0",VLOOKUP(A16,Program_Review_Data!A6:E70,2,FALSE))</f>
        <v>2041</v>
      </c>
      <c r="I16" s="1">
        <f>IF(ISNA(VLOOKUP($A16,Program_Review_Data!A6:F70,3,FALSE)),"0",VLOOKUP($A16,Program_Review_Data!A6:F70,3,FALSE))</f>
        <v>334</v>
      </c>
      <c r="J16" s="25">
        <f t="shared" si="2"/>
        <v>0.1636452719255267</v>
      </c>
      <c r="K16" s="1">
        <f>IF(ISNA(VLOOKUP($A16,Other_Data!A6:E70,2,FALSE)),"0",VLOOKUP($A16,Other_Data!A6:E70,2,FALSE))</f>
        <v>2465</v>
      </c>
      <c r="L16" s="1">
        <f>IF(ISNA(VLOOKUP($A16,Other_Data!A6:E70,3,FALSE)),"0",VLOOKUP($A16,Other_Data!A6:E70,3,FALSE))</f>
        <v>1798</v>
      </c>
      <c r="M16" s="25">
        <f t="shared" si="3"/>
        <v>0.7294117647058823</v>
      </c>
      <c r="N16" s="1">
        <f>IF(ISNA(VLOOKUP($A16,Burial_Data!$A$2:$C$65,2,FALSE)),"0",VLOOKUP($A16,Burial_Data!$A$2:$C$65,2,FALSE))</f>
        <v>5</v>
      </c>
      <c r="O16" s="1">
        <f>IF(ISNA(VLOOKUP($A16,Accrued_Data!$A$2:$D$65,3,FALSE)),"0",VLOOKUP($A16,Accrued_Data!$A$2:$D$65,3,FALSE))</f>
        <v>27</v>
      </c>
      <c r="P16" s="302">
        <f>'[1]ResultingReport'!$J12</f>
        <v>5836</v>
      </c>
      <c r="Q16" s="295"/>
    </row>
    <row r="17" spans="1:17" ht="12" customHeight="1">
      <c r="A17" s="322" t="s">
        <v>443</v>
      </c>
      <c r="B17" s="301">
        <f>IF(ISNA(VLOOKUP(A17,Entitlement_Data!A$3:C$64,2,FALSE)),"0",VLOOKUP(A17,Entitlement_Data!A$3:C$64,2,FALSE))</f>
        <v>2955</v>
      </c>
      <c r="C17" s="301">
        <f>IF(ISNA(VLOOKUP(A17,Entitlement_Data!A$3:D$64,3,FALSE)),"0",VLOOKUP(A17,Entitlement_Data!A$3:D$64,3,FALSE))</f>
        <v>1436</v>
      </c>
      <c r="D17" s="25">
        <f t="shared" si="0"/>
        <v>0.4859560067681895</v>
      </c>
      <c r="E17" s="352">
        <f>IF(ISNA(VLOOKUP(A17,'Award Adjustment_Data'!A$2:F$68,3,FALSE)),"0",VLOOKUP(A17,'Award Adjustment_Data'!A$2:F$68,3,FALSE))</f>
        <v>1222</v>
      </c>
      <c r="F17" s="352">
        <f>IF(ISNA(VLOOKUP(A17,'Award Adjustment_Data'!A$2:G$68,4,FALSE)),"0",VLOOKUP(A17,'Award Adjustment_Data'!A$2:G$68,4,FALSE))</f>
        <v>492</v>
      </c>
      <c r="G17" s="25">
        <f t="shared" si="1"/>
        <v>0.4026186579378069</v>
      </c>
      <c r="H17" s="1">
        <f>IF(ISNA(VLOOKUP(A17,Program_Review_Data!A7:E71,2,FALSE)),"0",VLOOKUP(A17,Program_Review_Data!A7:E71,2,FALSE))</f>
        <v>179</v>
      </c>
      <c r="I17" s="1">
        <f>IF(ISNA(VLOOKUP($A17,Program_Review_Data!A7:F71,3,FALSE)),"0",VLOOKUP($A17,Program_Review_Data!A7:F71,3,FALSE))</f>
        <v>7</v>
      </c>
      <c r="J17" s="25">
        <f t="shared" si="2"/>
        <v>0.03910614525139665</v>
      </c>
      <c r="K17" s="1">
        <f>IF(ISNA(VLOOKUP($A17,Other_Data!A7:E71,2,FALSE)),"0",VLOOKUP($A17,Other_Data!A7:E71,2,FALSE))</f>
        <v>139</v>
      </c>
      <c r="L17" s="1">
        <f>IF(ISNA(VLOOKUP($A17,Other_Data!A7:E71,3,FALSE)),"0",VLOOKUP($A17,Other_Data!A7:E71,3,FALSE))</f>
        <v>78</v>
      </c>
      <c r="M17" s="25">
        <f t="shared" si="3"/>
        <v>0.5611510791366906</v>
      </c>
      <c r="N17" s="1">
        <f>IF(ISNA(VLOOKUP($A17,Burial_Data!$A$2:$C$65,2,FALSE)),"0",VLOOKUP($A17,Burial_Data!$A$2:$C$65,2,FALSE))</f>
        <v>1</v>
      </c>
      <c r="O17" s="1" t="str">
        <f>IF(ISNA(VLOOKUP($A17,Accrued_Data!$A$2:$D$65,3,FALSE)),"0",VLOOKUP($A17,Accrued_Data!$A$2:$D$65,3,FALSE))</f>
        <v>0</v>
      </c>
      <c r="P17" s="302">
        <f>'[1]ResultingReport'!$J13</f>
        <v>747</v>
      </c>
      <c r="Q17" s="295"/>
    </row>
    <row r="18" spans="1:17" ht="12" customHeight="1">
      <c r="A18" t="s">
        <v>447</v>
      </c>
      <c r="B18" s="301">
        <f>IF(ISNA(VLOOKUP(A18,Entitlement_Data!A$3:C$64,2,FALSE)),"0",VLOOKUP(A18,Entitlement_Data!A$3:C$64,2,FALSE))</f>
        <v>18598</v>
      </c>
      <c r="C18" s="301">
        <f>IF(ISNA(VLOOKUP(A18,Entitlement_Data!A$3:D$64,3,FALSE)),"0",VLOOKUP(A18,Entitlement_Data!A$3:D$64,3,FALSE))</f>
        <v>14812</v>
      </c>
      <c r="D18" s="25">
        <f t="shared" si="0"/>
        <v>0.7964297236261964</v>
      </c>
      <c r="E18" s="352">
        <f>IF(ISNA(VLOOKUP(A18,'Award Adjustment_Data'!A$2:F$68,3,FALSE)),"0",VLOOKUP(A18,'Award Adjustment_Data'!A$2:F$68,3,FALSE))</f>
        <v>5784</v>
      </c>
      <c r="F18" s="352">
        <f>IF(ISNA(VLOOKUP(A18,'Award Adjustment_Data'!A$2:G$68,4,FALSE)),"0",VLOOKUP(A18,'Award Adjustment_Data'!A$2:G$68,4,FALSE))</f>
        <v>4455</v>
      </c>
      <c r="G18" s="25">
        <f t="shared" si="1"/>
        <v>0.7702282157676349</v>
      </c>
      <c r="H18" s="1">
        <f>IF(ISNA(VLOOKUP(A18,Program_Review_Data!A8:E72,2,FALSE)),"0",VLOOKUP(A18,Program_Review_Data!A8:E72,2,FALSE))</f>
        <v>685</v>
      </c>
      <c r="I18" s="1">
        <f>IF(ISNA(VLOOKUP($A18,Program_Review_Data!A8:F72,3,FALSE)),"0",VLOOKUP($A18,Program_Review_Data!A8:F72,3,FALSE))</f>
        <v>381</v>
      </c>
      <c r="J18" s="25">
        <f t="shared" si="2"/>
        <v>0.5562043795620438</v>
      </c>
      <c r="K18" s="1">
        <f>IF(ISNA(VLOOKUP($A18,Other_Data!A8:E72,2,FALSE)),"0",VLOOKUP($A18,Other_Data!A8:E72,2,FALSE))</f>
        <v>1803</v>
      </c>
      <c r="L18" s="1">
        <f>IF(ISNA(VLOOKUP($A18,Other_Data!A8:E72,3,FALSE)),"0",VLOOKUP($A18,Other_Data!A8:E72,3,FALSE))</f>
        <v>1467</v>
      </c>
      <c r="M18" s="25">
        <f t="shared" si="3"/>
        <v>0.8136439267886856</v>
      </c>
      <c r="N18" s="1">
        <f>IF(ISNA(VLOOKUP($A18,Burial_Data!$A$2:$C$65,2,FALSE)),"0",VLOOKUP($A18,Burial_Data!$A$2:$C$65,2,FALSE))</f>
        <v>7</v>
      </c>
      <c r="O18" s="1">
        <f>IF(ISNA(VLOOKUP($A18,Accrued_Data!$A$2:$D$65,3,FALSE)),"0",VLOOKUP($A18,Accrued_Data!$A$2:$D$65,3,FALSE))</f>
        <v>70</v>
      </c>
      <c r="P18" s="302">
        <f>'[1]ResultingReport'!$J14</f>
        <v>4552</v>
      </c>
      <c r="Q18" s="295"/>
    </row>
    <row r="19" spans="1:17" ht="12" customHeight="1">
      <c r="A19" t="s">
        <v>453</v>
      </c>
      <c r="B19" s="301">
        <f>IF(ISNA(VLOOKUP(A19,Entitlement_Data!A$3:C$64,2,FALSE)),"0",VLOOKUP(A19,Entitlement_Data!A$3:C$64,2,FALSE))</f>
        <v>2126</v>
      </c>
      <c r="C19" s="301">
        <f>IF(ISNA(VLOOKUP(A19,Entitlement_Data!A$3:D$64,3,FALSE)),"0",VLOOKUP(A19,Entitlement_Data!A$3:D$64,3,FALSE))</f>
        <v>1379</v>
      </c>
      <c r="D19" s="25">
        <f t="shared" si="0"/>
        <v>0.6486359360301035</v>
      </c>
      <c r="E19" s="352">
        <f>IF(ISNA(VLOOKUP(A19,'Award Adjustment_Data'!A$2:F$68,3,FALSE)),"0",VLOOKUP(A19,'Award Adjustment_Data'!A$2:F$68,3,FALSE))</f>
        <v>1101</v>
      </c>
      <c r="F19" s="352">
        <f>IF(ISNA(VLOOKUP(A19,'Award Adjustment_Data'!A$2:G$68,4,FALSE)),"0",VLOOKUP(A19,'Award Adjustment_Data'!A$2:G$68,4,FALSE))</f>
        <v>616</v>
      </c>
      <c r="G19" s="25">
        <f t="shared" si="1"/>
        <v>0.5594913714804723</v>
      </c>
      <c r="H19" s="1">
        <f>IF(ISNA(VLOOKUP(A19,Program_Review_Data!A9:E73,2,FALSE)),"0",VLOOKUP(A19,Program_Review_Data!A9:E73,2,FALSE))</f>
        <v>222</v>
      </c>
      <c r="I19" s="1">
        <f>IF(ISNA(VLOOKUP($A19,Program_Review_Data!A9:F73,3,FALSE)),"0",VLOOKUP($A19,Program_Review_Data!A9:F73,3,FALSE))</f>
        <v>74</v>
      </c>
      <c r="J19" s="25">
        <f t="shared" si="2"/>
        <v>0.3333333333333333</v>
      </c>
      <c r="K19" s="1">
        <f>IF(ISNA(VLOOKUP($A19,Other_Data!A9:E73,2,FALSE)),"0",VLOOKUP($A19,Other_Data!A9:E73,2,FALSE))</f>
        <v>176</v>
      </c>
      <c r="L19" s="1">
        <f>IF(ISNA(VLOOKUP($A19,Other_Data!A9:E73,3,FALSE)),"0",VLOOKUP($A19,Other_Data!A9:E73,3,FALSE))</f>
        <v>109</v>
      </c>
      <c r="M19" s="25">
        <f t="shared" si="3"/>
        <v>0.6193181818181818</v>
      </c>
      <c r="N19" s="1">
        <f>IF(ISNA(VLOOKUP($A19,Burial_Data!$A$2:$C$65,2,FALSE)),"0",VLOOKUP($A19,Burial_Data!$A$2:$C$65,2,FALSE))</f>
        <v>1</v>
      </c>
      <c r="O19" s="352" t="str">
        <f>IF(ISNA(VLOOKUP($A19,Accrued_Data!$A$2:$D$65,3,FALSE)),"0",VLOOKUP($A19,Accrued_Data!$A$2:$D$65,3,FALSE))</f>
        <v>0</v>
      </c>
      <c r="P19" s="302">
        <f>'[1]ResultingReport'!$J15</f>
        <v>716</v>
      </c>
      <c r="Q19" s="295"/>
    </row>
    <row r="20" spans="1:17" ht="12" customHeight="1">
      <c r="A20" t="s">
        <v>459</v>
      </c>
      <c r="B20" s="301">
        <f>IF(ISNA(VLOOKUP(A20,Entitlement_Data!A$3:C$64,2,FALSE)),"0",VLOOKUP(A20,Entitlement_Data!A$3:C$64,2,FALSE))</f>
        <v>12792</v>
      </c>
      <c r="C20" s="301">
        <f>IF(ISNA(VLOOKUP(A20,Entitlement_Data!A$3:D$64,3,FALSE)),"0",VLOOKUP(A20,Entitlement_Data!A$3:D$64,3,FALSE))</f>
        <v>10130</v>
      </c>
      <c r="D20" s="25">
        <f t="shared" si="0"/>
        <v>0.7919011882426517</v>
      </c>
      <c r="E20" s="352">
        <f>IF(ISNA(VLOOKUP(A20,'Award Adjustment_Data'!A$2:F$68,3,FALSE)),"0",VLOOKUP(A20,'Award Adjustment_Data'!A$2:F$68,3,FALSE))</f>
        <v>4666</v>
      </c>
      <c r="F20" s="352">
        <f>IF(ISNA(VLOOKUP(A20,'Award Adjustment_Data'!A$2:G$68,4,FALSE)),"0",VLOOKUP(A20,'Award Adjustment_Data'!A$2:G$68,4,FALSE))</f>
        <v>2885</v>
      </c>
      <c r="G20" s="25">
        <f t="shared" si="1"/>
        <v>0.6183026146592371</v>
      </c>
      <c r="H20" s="1">
        <f>IF(ISNA(VLOOKUP(A20,Program_Review_Data!A10:E74,2,FALSE)),"0",VLOOKUP(A20,Program_Review_Data!A10:E74,2,FALSE))</f>
        <v>856</v>
      </c>
      <c r="I20" s="1">
        <f>IF(ISNA(VLOOKUP($A20,Program_Review_Data!A10:F74,3,FALSE)),"0",VLOOKUP($A20,Program_Review_Data!A10:F74,3,FALSE))</f>
        <v>287</v>
      </c>
      <c r="J20" s="25">
        <f t="shared" si="2"/>
        <v>0.3352803738317757</v>
      </c>
      <c r="K20" s="1">
        <f>IF(ISNA(VLOOKUP($A20,Other_Data!A10:E74,2,FALSE)),"0",VLOOKUP($A20,Other_Data!A10:E74,2,FALSE))</f>
        <v>701</v>
      </c>
      <c r="L20" s="1">
        <f>IF(ISNA(VLOOKUP($A20,Other_Data!A10:E74,3,FALSE)),"0",VLOOKUP($A20,Other_Data!A10:E74,3,FALSE))</f>
        <v>563</v>
      </c>
      <c r="M20" s="25">
        <f t="shared" si="3"/>
        <v>0.8031383737517832</v>
      </c>
      <c r="N20" s="1">
        <f>IF(ISNA(VLOOKUP($A20,Burial_Data!$A$2:$C$65,2,FALSE)),"0",VLOOKUP($A20,Burial_Data!$A$2:$C$65,2,FALSE))</f>
        <v>1</v>
      </c>
      <c r="O20" s="352">
        <f>IF(ISNA(VLOOKUP($A20,Accrued_Data!$A$2:$D$65,3,FALSE)),"0",VLOOKUP($A20,Accrued_Data!$A$2:$D$65,3,FALSE))</f>
        <v>1</v>
      </c>
      <c r="P20" s="302">
        <f>'[1]ResultingReport'!$J16</f>
        <v>3754</v>
      </c>
      <c r="Q20" s="295"/>
    </row>
    <row r="21" spans="1:17" ht="12" customHeight="1">
      <c r="A21" t="s">
        <v>460</v>
      </c>
      <c r="B21" s="301">
        <f>IF(ISNA(VLOOKUP(A21,Entitlement_Data!A$3:C$64,2,FALSE)),"0",VLOOKUP(A21,Entitlement_Data!A$3:C$64,2,FALSE))</f>
        <v>4130</v>
      </c>
      <c r="C21" s="301">
        <f>IF(ISNA(VLOOKUP(A21,Entitlement_Data!A$3:D$64,3,FALSE)),"0",VLOOKUP(A21,Entitlement_Data!A$3:D$64,3,FALSE))</f>
        <v>2460</v>
      </c>
      <c r="D21" s="25">
        <f t="shared" si="0"/>
        <v>0.5956416464891041</v>
      </c>
      <c r="E21" s="352">
        <f>IF(ISNA(VLOOKUP(A21,'Award Adjustment_Data'!A$2:F$68,3,FALSE)),"0",VLOOKUP(A21,'Award Adjustment_Data'!A$2:F$68,3,FALSE))</f>
        <v>1790</v>
      </c>
      <c r="F21" s="352">
        <f>IF(ISNA(VLOOKUP(A21,'Award Adjustment_Data'!A$2:G$68,4,FALSE)),"0",VLOOKUP(A21,'Award Adjustment_Data'!A$2:G$68,4,FALSE))</f>
        <v>1041</v>
      </c>
      <c r="G21" s="25">
        <f t="shared" si="1"/>
        <v>0.5815642458100558</v>
      </c>
      <c r="H21" s="1">
        <f>IF(ISNA(VLOOKUP(A21,Program_Review_Data!A11:E75,2,FALSE)),"0",VLOOKUP(A21,Program_Review_Data!A11:E75,2,FALSE))</f>
        <v>942</v>
      </c>
      <c r="I21" s="1">
        <f>IF(ISNA(VLOOKUP($A21,Program_Review_Data!A11:F75,3,FALSE)),"0",VLOOKUP($A21,Program_Review_Data!A11:F75,3,FALSE))</f>
        <v>39</v>
      </c>
      <c r="J21" s="25">
        <f t="shared" si="2"/>
        <v>0.041401273885350316</v>
      </c>
      <c r="K21" s="1">
        <f>IF(ISNA(VLOOKUP($A21,Other_Data!A11:E75,2,FALSE)),"0",VLOOKUP($A21,Other_Data!A11:E75,2,FALSE))</f>
        <v>566</v>
      </c>
      <c r="L21" s="1">
        <f>IF(ISNA(VLOOKUP($A21,Other_Data!A11:E75,3,FALSE)),"0",VLOOKUP($A21,Other_Data!A11:E75,3,FALSE))</f>
        <v>293</v>
      </c>
      <c r="M21" s="25">
        <f t="shared" si="3"/>
        <v>0.5176678445229682</v>
      </c>
      <c r="N21" s="1">
        <f>IF(ISNA(VLOOKUP($A21,Burial_Data!$A$2:$C$65,2,FALSE)),"0",VLOOKUP($A21,Burial_Data!$A$2:$C$65,2,FALSE))</f>
        <v>0</v>
      </c>
      <c r="O21" s="1">
        <f>IF(ISNA(VLOOKUP($A21,Accrued_Data!$A$2:$D$65,3,FALSE)),"0",VLOOKUP($A21,Accrued_Data!$A$2:$D$65,3,FALSE))</f>
        <v>2</v>
      </c>
      <c r="P21" s="302">
        <f>'[1]ResultingReport'!$J17</f>
        <v>2144</v>
      </c>
      <c r="Q21" s="295"/>
    </row>
    <row r="22" spans="1:17" ht="12" customHeight="1">
      <c r="A22" s="323" t="s">
        <v>462</v>
      </c>
      <c r="B22" s="327">
        <f>IF(ISNA(VLOOKUP(A22,Entitlement_Data!A$3:C$64,2,FALSE)),"0",VLOOKUP(A22,Entitlement_Data!A$3:C$64,2,FALSE))</f>
        <v>23895</v>
      </c>
      <c r="C22" s="327">
        <f>IF(ISNA(VLOOKUP(A22,Entitlement_Data!A$3:D$64,3,FALSE)),"0",VLOOKUP(A22,Entitlement_Data!A$3:D$64,3,FALSE))</f>
        <v>15577</v>
      </c>
      <c r="D22" s="34">
        <f t="shared" si="0"/>
        <v>0.6518937016112157</v>
      </c>
      <c r="E22" s="327">
        <f>Award_Formulas!L2-Award_Formulas!O2</f>
        <v>5830</v>
      </c>
      <c r="F22" s="35">
        <f>Award_Formulas!L5-Award_Formulas!R2</f>
        <v>3939</v>
      </c>
      <c r="G22" s="34">
        <f t="shared" si="1"/>
        <v>0.6756432246998285</v>
      </c>
      <c r="H22" s="35">
        <f>IF(ISNA(VLOOKUP(A22,Program_Review_Data!A12:E76,2,FALSE)),"0",VLOOKUP(A22,Program_Review_Data!A12:E76,2,FALSE))</f>
        <v>6600</v>
      </c>
      <c r="I22" s="35">
        <f>IF(ISNA(VLOOKUP($A22,Program_Review_Data!A12:F76,3,FALSE)),"0",VLOOKUP($A22,Program_Review_Data!A12:F76,3,FALSE))</f>
        <v>3040</v>
      </c>
      <c r="J22" s="34">
        <f t="shared" si="2"/>
        <v>0.46060606060606063</v>
      </c>
      <c r="K22" s="35">
        <f>IF(ISNA(VLOOKUP($A22,Other_Data!A12:E76,2,FALSE)),"0",VLOOKUP($A22,Other_Data!A12:E76,2,FALSE))</f>
        <v>3773</v>
      </c>
      <c r="L22" s="35">
        <f>IF(ISNA(VLOOKUP($A22,Other_Data!A12:E76,3,FALSE)),"0",VLOOKUP($A22,Other_Data!A12:E76,3,FALSE))</f>
        <v>2796</v>
      </c>
      <c r="M22" s="34">
        <f t="shared" si="3"/>
        <v>0.7410548635038431</v>
      </c>
      <c r="N22" s="35">
        <f>IF(ISNA(VLOOKUP($A22,Burial_Data!$A$2:$C$65,2,FALSE)),"0",VLOOKUP($A22,Burial_Data!$A$2:$C$65,2,FALSE))</f>
        <v>18026</v>
      </c>
      <c r="O22" s="171" t="s">
        <v>3</v>
      </c>
      <c r="P22" s="382">
        <f>'[1]ResultingReport'!$J19</f>
        <v>3010</v>
      </c>
      <c r="Q22" s="295"/>
    </row>
    <row r="23" spans="1:17" ht="12" customHeight="1">
      <c r="A23" t="s">
        <v>464</v>
      </c>
      <c r="B23" s="301">
        <f>IF(ISNA(VLOOKUP(A23,Entitlement_Data!A$3:C$64,2,FALSE)),"0",VLOOKUP(A23,Entitlement_Data!A$3:C$64,2,FALSE))</f>
        <v>11583</v>
      </c>
      <c r="C23" s="301">
        <f>IF(ISNA(VLOOKUP(A23,Entitlement_Data!A$3:D$64,3,FALSE)),"0",VLOOKUP(A23,Entitlement_Data!A$3:D$64,3,FALSE))</f>
        <v>8723</v>
      </c>
      <c r="D23" s="25">
        <f t="shared" si="0"/>
        <v>0.7530864197530864</v>
      </c>
      <c r="E23" s="352">
        <f>IF(ISNA(VLOOKUP(A23,'Award Adjustment_Data'!A$2:F$68,3,FALSE)),"0",VLOOKUP(A23,'Award Adjustment_Data'!A$2:F$68,3,FALSE))</f>
        <v>4501</v>
      </c>
      <c r="F23" s="352">
        <f>IF(ISNA(VLOOKUP(A23,'Award Adjustment_Data'!A$2:G$68,4,FALSE)),"0",VLOOKUP(A23,'Award Adjustment_Data'!A$2:G$68,4,FALSE))</f>
        <v>3639</v>
      </c>
      <c r="G23" s="25">
        <f t="shared" si="1"/>
        <v>0.808487002888247</v>
      </c>
      <c r="H23" s="1">
        <f>IF(ISNA(VLOOKUP(A23,Program_Review_Data!A13:E77,2,FALSE)),"0",VLOOKUP(A23,Program_Review_Data!A13:E77,2,FALSE))</f>
        <v>794</v>
      </c>
      <c r="I23" s="1">
        <f>IF(ISNA(VLOOKUP($A23,Program_Review_Data!A13:F77,3,FALSE)),"0",VLOOKUP($A23,Program_Review_Data!A13:F77,3,FALSE))</f>
        <v>423</v>
      </c>
      <c r="J23" s="25">
        <f t="shared" si="2"/>
        <v>0.5327455919395466</v>
      </c>
      <c r="K23" s="268">
        <f>IF(ISNA(VLOOKUP($A23,Other_Data!A13:E77,2,FALSE)),"0",VLOOKUP($A23,Other_Data!A13:E77,2,FALSE))</f>
        <v>1052</v>
      </c>
      <c r="L23" s="1">
        <f>IF(ISNA(VLOOKUP($A23,Other_Data!A13:E77,3,FALSE)),"0",VLOOKUP($A23,Other_Data!A13:E77,3,FALSE))</f>
        <v>735</v>
      </c>
      <c r="M23" s="25">
        <f t="shared" si="3"/>
        <v>0.6986692015209125</v>
      </c>
      <c r="N23" s="1">
        <f>IF(ISNA(VLOOKUP($A23,Burial_Data!$A$2:$C$65,2,FALSE)),"0",VLOOKUP($A23,Burial_Data!$A$2:$C$65,2,FALSE))</f>
        <v>1</v>
      </c>
      <c r="O23" s="1" t="str">
        <f>IF(ISNA(VLOOKUP($A23,Accrued_Data!$A$2:$D$65,3,FALSE)),"0",VLOOKUP($A23,Accrued_Data!$A$2:$D$65,3,FALSE))</f>
        <v>0</v>
      </c>
      <c r="P23" s="302">
        <f>'[1]ResultingReport'!$J21</f>
        <v>2824</v>
      </c>
      <c r="Q23" s="295"/>
    </row>
    <row r="24" spans="1:17" ht="12" customHeight="1">
      <c r="A24" t="s">
        <v>466</v>
      </c>
      <c r="B24" s="301">
        <f>IF(ISNA(VLOOKUP(A24,Entitlement_Data!A$3:C$64,2,FALSE)),"0",VLOOKUP(A24,Entitlement_Data!A$3:C$64,2,FALSE))</f>
        <v>4391</v>
      </c>
      <c r="C24" s="301">
        <f>IF(ISNA(VLOOKUP(A24,Entitlement_Data!A$3:D$64,3,FALSE)),"0",VLOOKUP(A24,Entitlement_Data!A$3:D$64,3,FALSE))</f>
        <v>1749</v>
      </c>
      <c r="D24" s="25">
        <f t="shared" si="0"/>
        <v>0.3983147346845821</v>
      </c>
      <c r="E24" s="352">
        <f>IF(ISNA(VLOOKUP(A24,'Award Adjustment_Data'!A$2:F$68,3,FALSE)),"0",VLOOKUP(A24,'Award Adjustment_Data'!A$2:F$68,3,FALSE))</f>
        <v>1092</v>
      </c>
      <c r="F24" s="352">
        <f>IF(ISNA(VLOOKUP(A24,'Award Adjustment_Data'!A$2:G$68,4,FALSE)),"0",VLOOKUP(A24,'Award Adjustment_Data'!A$2:G$68,4,FALSE))</f>
        <v>383</v>
      </c>
      <c r="G24" s="25">
        <f t="shared" si="1"/>
        <v>0.3507326007326007</v>
      </c>
      <c r="H24" s="1">
        <f>IF(ISNA(VLOOKUP(A24,Program_Review_Data!A14:E78,2,FALSE)),"0",VLOOKUP(A24,Program_Review_Data!A14:E78,2,FALSE))</f>
        <v>265</v>
      </c>
      <c r="I24" s="1">
        <f>IF(ISNA(VLOOKUP($A24,Program_Review_Data!A14:F78,3,FALSE)),"0",VLOOKUP($A24,Program_Review_Data!A14:F78,3,FALSE))</f>
        <v>187</v>
      </c>
      <c r="J24" s="25">
        <f t="shared" si="2"/>
        <v>0.7056603773584905</v>
      </c>
      <c r="K24" s="268">
        <f>IF(ISNA(VLOOKUP($A24,Other_Data!A14:E78,2,FALSE)),"0",VLOOKUP($A24,Other_Data!A14:E78,2,FALSE))</f>
        <v>207</v>
      </c>
      <c r="L24" s="1">
        <f>IF(ISNA(VLOOKUP($A24,Other_Data!A14:E78,3,FALSE)),"0",VLOOKUP($A24,Other_Data!A14:E78,3,FALSE))</f>
        <v>141</v>
      </c>
      <c r="M24" s="25">
        <f t="shared" si="3"/>
        <v>0.6811594202898551</v>
      </c>
      <c r="N24" s="1">
        <f>IF(ISNA(VLOOKUP($A24,Burial_Data!$A$2:$C$65,2,FALSE)),"0",VLOOKUP($A24,Burial_Data!$A$2:$C$65,2,FALSE))</f>
        <v>0</v>
      </c>
      <c r="O24" s="352">
        <f>IF(ISNA(VLOOKUP($A24,Accrued_Data!$A$2:$D$65,3,FALSE)),"0",VLOOKUP($A24,Accrued_Data!$A$2:$D$65,3,FALSE))</f>
        <v>1</v>
      </c>
      <c r="P24" s="302">
        <f>'[1]ResultingReport'!$J24</f>
        <v>914</v>
      </c>
      <c r="Q24" s="295"/>
    </row>
    <row r="25" spans="1:17" ht="12" customHeight="1">
      <c r="A25" t="s">
        <v>477</v>
      </c>
      <c r="B25" s="301">
        <f>IF(ISNA(VLOOKUP(A25,Entitlement_Data!A$3:C$64,2,FALSE)),"0",VLOOKUP(A25,Entitlement_Data!A$3:C$64,2,FALSE))</f>
        <v>2807</v>
      </c>
      <c r="C25" s="301">
        <f>IF(ISNA(VLOOKUP(A25,Entitlement_Data!A$3:D$64,3,FALSE)),"0",VLOOKUP(A25,Entitlement_Data!A$3:D$64,3,FALSE))</f>
        <v>1160</v>
      </c>
      <c r="D25" s="25">
        <f t="shared" si="0"/>
        <v>0.4132525828286427</v>
      </c>
      <c r="E25" s="352">
        <f>IF(ISNA(VLOOKUP(A25,'Award Adjustment_Data'!A$2:F$68,3,FALSE)),"0",VLOOKUP(A25,'Award Adjustment_Data'!A$2:F$68,3,FALSE))</f>
        <v>1830</v>
      </c>
      <c r="F25" s="352">
        <f>IF(ISNA(VLOOKUP(A25,'Award Adjustment_Data'!A$2:G$68,4,FALSE)),"0",VLOOKUP(A25,'Award Adjustment_Data'!A$2:G$68,4,FALSE))</f>
        <v>1187</v>
      </c>
      <c r="G25" s="25">
        <f t="shared" si="1"/>
        <v>0.6486338797814207</v>
      </c>
      <c r="H25" s="1">
        <f>IF(ISNA(VLOOKUP(A25,Program_Review_Data!A15:E79,2,FALSE)),"0",VLOOKUP(A25,Program_Review_Data!A15:E79,2,FALSE))</f>
        <v>877</v>
      </c>
      <c r="I25" s="1">
        <f>IF(ISNA(VLOOKUP($A25,Program_Review_Data!A15:F79,3,FALSE)),"0",VLOOKUP($A25,Program_Review_Data!A15:F79,3,FALSE))</f>
        <v>408</v>
      </c>
      <c r="J25" s="25">
        <f t="shared" si="2"/>
        <v>0.4652223489167617</v>
      </c>
      <c r="K25" s="268">
        <f>IF(ISNA(VLOOKUP($A25,Other_Data!A15:E79,2,FALSE)),"0",VLOOKUP($A25,Other_Data!A15:E79,2,FALSE))</f>
        <v>165</v>
      </c>
      <c r="L25" s="1">
        <f>IF(ISNA(VLOOKUP($A25,Other_Data!A15:E79,3,FALSE)),"0",VLOOKUP($A25,Other_Data!A15:E79,3,FALSE))</f>
        <v>105</v>
      </c>
      <c r="M25" s="25">
        <f t="shared" si="3"/>
        <v>0.6363636363636364</v>
      </c>
      <c r="N25" s="1">
        <f>IF(ISNA(VLOOKUP($A25,Burial_Data!$A$2:$C$65,2,FALSE)),"0",VLOOKUP($A25,Burial_Data!$A$2:$C$65,2,FALSE))</f>
        <v>0</v>
      </c>
      <c r="O25" s="352" t="str">
        <f>IF(ISNA(VLOOKUP($A25,Accrued_Data!$A$2:$D$65,3,FALSE)),"0",VLOOKUP($A25,Accrued_Data!$A$2:$D$65,3,FALSE))</f>
        <v>0</v>
      </c>
      <c r="P25" s="302">
        <f>'[1]ResultingReport'!$J25</f>
        <v>524</v>
      </c>
      <c r="Q25" s="295"/>
    </row>
    <row r="26" spans="1:17" ht="12" customHeight="1">
      <c r="A26" t="s">
        <v>481</v>
      </c>
      <c r="B26" s="301">
        <f>IF(ISNA(VLOOKUP(A26,Entitlement_Data!A$3:C$64,2,FALSE)),"0",VLOOKUP(A26,Entitlement_Data!A$3:C$64,2,FALSE))</f>
        <v>977</v>
      </c>
      <c r="C26" s="301">
        <f>IF(ISNA(VLOOKUP(A26,Entitlement_Data!A$3:D$64,3,FALSE)),"0",VLOOKUP(A26,Entitlement_Data!A$3:D$64,3,FALSE))</f>
        <v>622</v>
      </c>
      <c r="D26" s="25">
        <f t="shared" si="0"/>
        <v>0.6366427840327533</v>
      </c>
      <c r="E26" s="352">
        <f>IF(ISNA(VLOOKUP(A26,'Award Adjustment_Data'!A$2:F$68,3,FALSE)),"0",VLOOKUP(A26,'Award Adjustment_Data'!A$2:F$68,3,FALSE))</f>
        <v>525</v>
      </c>
      <c r="F26" s="352">
        <f>IF(ISNA(VLOOKUP(A26,'Award Adjustment_Data'!A$2:G$68,4,FALSE)),"0",VLOOKUP(A26,'Award Adjustment_Data'!A$2:G$68,4,FALSE))</f>
        <v>228</v>
      </c>
      <c r="G26" s="25">
        <f t="shared" si="1"/>
        <v>0.4342857142857143</v>
      </c>
      <c r="H26" s="1">
        <f>IF(ISNA(VLOOKUP(A26,Program_Review_Data!A16:E80,2,FALSE)),"0",VLOOKUP(A26,Program_Review_Data!A16:E80,2,FALSE))</f>
        <v>39</v>
      </c>
      <c r="I26" s="1">
        <f>IF(ISNA(VLOOKUP($A26,Program_Review_Data!A16:F80,3,FALSE)),"0",VLOOKUP($A26,Program_Review_Data!A16:F80,3,FALSE))</f>
        <v>30</v>
      </c>
      <c r="J26" s="25">
        <f t="shared" si="2"/>
        <v>0.7692307692307693</v>
      </c>
      <c r="K26" s="268">
        <f>IF(ISNA(VLOOKUP($A26,Other_Data!A16:E80,2,FALSE)),"0",VLOOKUP($A26,Other_Data!A16:E80,2,FALSE))</f>
        <v>144</v>
      </c>
      <c r="L26" s="1">
        <f>IF(ISNA(VLOOKUP($A26,Other_Data!A16:E80,3,FALSE)),"0",VLOOKUP($A26,Other_Data!A16:E80,3,FALSE))</f>
        <v>104</v>
      </c>
      <c r="M26" s="25">
        <f t="shared" si="3"/>
        <v>0.7222222222222222</v>
      </c>
      <c r="N26" s="1">
        <f>IF(ISNA(VLOOKUP($A26,Burial_Data!$A$2:$C$65,2,FALSE)),"0",VLOOKUP($A26,Burial_Data!$A$2:$C$65,2,FALSE))</f>
        <v>0</v>
      </c>
      <c r="O26" s="352">
        <f>IF(ISNA(VLOOKUP($A26,Accrued_Data!$A$2:$D$65,3,FALSE)),"0",VLOOKUP($A26,Accrued_Data!$A$2:$D$65,3,FALSE))</f>
        <v>1</v>
      </c>
      <c r="P26" s="302">
        <f>'[1]ResultingReport'!$J26</f>
        <v>342</v>
      </c>
      <c r="Q26" s="295"/>
    </row>
    <row r="27" spans="1:17" ht="12" customHeight="1">
      <c r="A27" s="326" t="s">
        <v>483</v>
      </c>
      <c r="B27" s="333">
        <f>IF(ISNA(VLOOKUP(A27,Entitlement_Data!A$3:C$64,2,FALSE)),"0",VLOOKUP(A27,Entitlement_Data!A$3:C$64,2,FALSE))</f>
        <v>1180</v>
      </c>
      <c r="C27" s="333">
        <f>IF(ISNA(VLOOKUP(A27,Entitlement_Data!A$3:D$64,3,FALSE)),"0",VLOOKUP(A27,Entitlement_Data!A$3:D$64,3,FALSE))</f>
        <v>582</v>
      </c>
      <c r="D27" s="32">
        <f t="shared" si="0"/>
        <v>0.49322033898305084</v>
      </c>
      <c r="E27" s="353">
        <f>IF(ISNA(VLOOKUP(A27,'Award Adjustment_Data'!A$2:F$68,3,FALSE)),"0",VLOOKUP(A27,'Award Adjustment_Data'!A$2:F$68,3,FALSE))</f>
        <v>551</v>
      </c>
      <c r="F27" s="353">
        <f>IF(ISNA(VLOOKUP(A27,'Award Adjustment_Data'!A$2:G$68,4,FALSE)),"0",VLOOKUP(A27,'Award Adjustment_Data'!A$2:G$68,4,FALSE))</f>
        <v>338</v>
      </c>
      <c r="G27" s="32">
        <f t="shared" si="1"/>
        <v>0.6134301270417423</v>
      </c>
      <c r="H27" s="33">
        <f>IF(ISNA(VLOOKUP(A27,Program_Review_Data!A17:E81,2,FALSE)),"0",VLOOKUP(A27,Program_Review_Data!A17:E81,2,FALSE))</f>
        <v>62</v>
      </c>
      <c r="I27" s="33">
        <f>IF(ISNA(VLOOKUP($A27,Program_Review_Data!A17:F81,3,FALSE)),"0",VLOOKUP($A27,Program_Review_Data!A17:F81,3,FALSE))</f>
        <v>4</v>
      </c>
      <c r="J27" s="32">
        <f t="shared" si="2"/>
        <v>0.06451612903225806</v>
      </c>
      <c r="K27" s="270">
        <f>IF(ISNA(VLOOKUP($A27,Other_Data!A17:E81,2,FALSE)),"0",VLOOKUP($A27,Other_Data!A17:E81,2,FALSE))</f>
        <v>231</v>
      </c>
      <c r="L27" s="33">
        <f>IF(ISNA(VLOOKUP($A27,Other_Data!A17:E81,3,FALSE)),"0",VLOOKUP($A27,Other_Data!A17:E81,3,FALSE))</f>
        <v>158</v>
      </c>
      <c r="M27" s="32">
        <f t="shared" si="3"/>
        <v>0.683982683982684</v>
      </c>
      <c r="N27" s="33">
        <f>IF(ISNA(VLOOKUP($A27,Burial_Data!$A$2:$C$65,2,FALSE)),"0",VLOOKUP($A27,Burial_Data!$A$2:$C$65,2,FALSE))</f>
        <v>0</v>
      </c>
      <c r="O27" s="353" t="str">
        <f>IF(ISNA(VLOOKUP($A27,Accrued_Data!$A$2:$D$65,3,FALSE)),"0",VLOOKUP($A27,Accrued_Data!$A$2:$D$65,3,FALSE))</f>
        <v>0</v>
      </c>
      <c r="P27" s="307">
        <f>'[1]ResultingReport'!$J$29</f>
        <v>565</v>
      </c>
      <c r="Q27" s="295"/>
    </row>
    <row r="28" spans="1:17" ht="12" customHeight="1">
      <c r="A28" t="s">
        <v>335</v>
      </c>
      <c r="B28" s="301">
        <f>IF(ISNA(VLOOKUP(A28,Entitlement_Data!A$3:C$64,2,FALSE)),"0",VLOOKUP(A28,Entitlement_Data!A$3:C$64,2,FALSE))+3</f>
        <v>32247</v>
      </c>
      <c r="C28" s="301">
        <f>IF(ISNA(VLOOKUP(A28,Entitlement_Data!A$3:D$64,3,FALSE)),"0",VLOOKUP(A28,Entitlement_Data!A$3:D$64,3,FALSE))+3</f>
        <v>21338</v>
      </c>
      <c r="D28" s="25">
        <f t="shared" si="0"/>
        <v>0.6617049648029274</v>
      </c>
      <c r="E28" s="352">
        <f>IF(ISNA(VLOOKUP(A28,'Award Adjustment_Data'!A$2:F$68,3,FALSE)),"0",VLOOKUP(A28,'Award Adjustment_Data'!A$2:F$68,3,FALSE))</f>
        <v>10997</v>
      </c>
      <c r="F28" s="352">
        <f>IF(ISNA(VLOOKUP(A28,'Award Adjustment_Data'!A$2:G$68,4,FALSE)),"0",VLOOKUP(A28,'Award Adjustment_Data'!A$2:G$68,4,FALSE))</f>
        <v>7357</v>
      </c>
      <c r="G28" s="25">
        <f t="shared" si="1"/>
        <v>0.6690006365372374</v>
      </c>
      <c r="H28" s="1">
        <f>IF(ISNA(VLOOKUP(A28,Program_Review_Data!A18:E82,2,FALSE)),"0",VLOOKUP(A28,Program_Review_Data!A18:E82,2,FALSE))</f>
        <v>2079</v>
      </c>
      <c r="I28" s="1">
        <f>IF(ISNA(VLOOKUP($A28,Program_Review_Data!A18:F82,3,FALSE)),"0",VLOOKUP($A28,Program_Review_Data!A18:F82,3,FALSE))</f>
        <v>403</v>
      </c>
      <c r="J28" s="25">
        <f t="shared" si="2"/>
        <v>0.19384319384319385</v>
      </c>
      <c r="K28" s="268">
        <f>IF(ISNA(VLOOKUP($A28,Other_Data!A18:E82,2,FALSE)),"0",VLOOKUP($A28,Other_Data!A18:E82,2,FALSE))</f>
        <v>6686</v>
      </c>
      <c r="L28" s="1">
        <f>IF(ISNA(VLOOKUP($A28,Other_Data!A18:E82,3,FALSE)),"0",VLOOKUP($A28,Other_Data!A18:E82,3,FALSE))</f>
        <v>3440</v>
      </c>
      <c r="M28" s="25">
        <f t="shared" si="3"/>
        <v>0.5145079270116661</v>
      </c>
      <c r="N28" s="1">
        <f>IF(ISNA(VLOOKUP($A28,Burial_Data!$A$2:$C$65,2,FALSE)),"0",VLOOKUP($A28,Burial_Data!$A$2:$C$65,2,FALSE))</f>
        <v>1</v>
      </c>
      <c r="O28" s="352">
        <f>IF(ISNA(VLOOKUP($A28,Accrued_Data!$A$2:$D$65,3,FALSE)),"0",VLOOKUP($A28,Accrued_Data!$A$2:$D$65,3,FALSE))</f>
        <v>1</v>
      </c>
      <c r="P28" s="302">
        <f>'[1]ResultingReport'!$J31</f>
        <v>11827</v>
      </c>
      <c r="Q28" s="295"/>
    </row>
    <row r="29" spans="1:17" ht="12" customHeight="1">
      <c r="A29" t="s">
        <v>437</v>
      </c>
      <c r="B29" s="301">
        <f>IF(ISNA(VLOOKUP(A29,Entitlement_Data!A$3:C$64,2,FALSE)),"0",VLOOKUP(A29,Entitlement_Data!A$3:C$64,2,FALSE))</f>
        <v>24213</v>
      </c>
      <c r="C29" s="301">
        <f>IF(ISNA(VLOOKUP(A29,Entitlement_Data!A$3:D$64,3,FALSE)),"0",VLOOKUP(A29,Entitlement_Data!A$3:D$64,3,FALSE))</f>
        <v>16253</v>
      </c>
      <c r="D29" s="25">
        <f t="shared" si="0"/>
        <v>0.6712509808780407</v>
      </c>
      <c r="E29" s="352">
        <f>IF(ISNA(VLOOKUP(A29,'Award Adjustment_Data'!A$2:F$68,3,FALSE)),"0",VLOOKUP(A29,'Award Adjustment_Data'!A$2:F$68,3,FALSE))</f>
        <v>5866</v>
      </c>
      <c r="F29" s="352">
        <f>IF(ISNA(VLOOKUP(A29,'Award Adjustment_Data'!A$2:G$68,4,FALSE)),"0",VLOOKUP(A29,'Award Adjustment_Data'!A$2:G$68,4,FALSE))</f>
        <v>2819</v>
      </c>
      <c r="G29" s="25">
        <f t="shared" si="1"/>
        <v>0.4805659734060689</v>
      </c>
      <c r="H29" s="1">
        <f>IF(ISNA(VLOOKUP(A29,Program_Review_Data!A19:E83,2,FALSE)),"0",VLOOKUP(A29,Program_Review_Data!A19:E83,2,FALSE))</f>
        <v>870</v>
      </c>
      <c r="I29" s="1">
        <f>IF(ISNA(VLOOKUP($A29,Program_Review_Data!A19:F83,3,FALSE)),"0",VLOOKUP($A29,Program_Review_Data!A19:F83,3,FALSE))</f>
        <v>323</v>
      </c>
      <c r="J29" s="25">
        <f t="shared" si="2"/>
        <v>0.37126436781609196</v>
      </c>
      <c r="K29" s="268">
        <f>IF(ISNA(VLOOKUP($A29,Other_Data!A19:E83,2,FALSE)),"0",VLOOKUP($A29,Other_Data!A19:E83,2,FALSE))</f>
        <v>941</v>
      </c>
      <c r="L29" s="1">
        <f>IF(ISNA(VLOOKUP($A29,Other_Data!A19:E83,3,FALSE)),"0",VLOOKUP($A29,Other_Data!A19:E83,3,FALSE))</f>
        <v>733</v>
      </c>
      <c r="M29" s="25">
        <f t="shared" si="3"/>
        <v>0.7789585547290117</v>
      </c>
      <c r="N29" s="1">
        <f>IF(ISNA(VLOOKUP($A29,Burial_Data!$A$2:$C$65,2,FALSE)),"0",VLOOKUP($A29,Burial_Data!$A$2:$C$65,2,FALSE))</f>
        <v>3</v>
      </c>
      <c r="O29" s="352">
        <f>IF(ISNA(VLOOKUP($A29,Accrued_Data!$A$2:$D$65,3,FALSE)),"0",VLOOKUP($A29,Accrued_Data!$A$2:$D$65,3,FALSE))</f>
        <v>11</v>
      </c>
      <c r="P29" s="302">
        <f>'[1]ResultingReport'!$J32</f>
        <v>6243</v>
      </c>
      <c r="Q29" s="295"/>
    </row>
    <row r="30" spans="1:17" ht="12" customHeight="1">
      <c r="A30" t="s">
        <v>446</v>
      </c>
      <c r="B30" s="301">
        <f>IF(ISNA(VLOOKUP(A30,Entitlement_Data!A$3:C$64,2,FALSE)),"0",VLOOKUP(A30,Entitlement_Data!A$3:C$64,2,FALSE))</f>
        <v>9890</v>
      </c>
      <c r="C30" s="301">
        <f>IF(ISNA(VLOOKUP(A30,Entitlement_Data!A$3:D$64,3,FALSE)),"0",VLOOKUP(A30,Entitlement_Data!A$3:D$64,3,FALSE))</f>
        <v>6558</v>
      </c>
      <c r="D30" s="25">
        <f t="shared" si="0"/>
        <v>0.6630940343781597</v>
      </c>
      <c r="E30" s="352">
        <f>IF(ISNA(VLOOKUP(A30,'Award Adjustment_Data'!A$2:F$68,3,FALSE)),"0",VLOOKUP(A30,'Award Adjustment_Data'!A$2:F$68,3,FALSE))</f>
        <v>1861</v>
      </c>
      <c r="F30" s="352">
        <f>IF(ISNA(VLOOKUP(A30,'Award Adjustment_Data'!A$2:G$68,4,FALSE)),"0",VLOOKUP(A30,'Award Adjustment_Data'!A$2:G$68,4,FALSE))</f>
        <v>756</v>
      </c>
      <c r="G30" s="25">
        <f t="shared" si="1"/>
        <v>0.4062332079527136</v>
      </c>
      <c r="H30" s="1">
        <f>IF(ISNA(VLOOKUP(A30,Program_Review_Data!A20:E84,2,FALSE)),"0",VLOOKUP(A30,Program_Review_Data!A20:E84,2,FALSE))</f>
        <v>271</v>
      </c>
      <c r="I30" s="1">
        <f>IF(ISNA(VLOOKUP($A30,Program_Review_Data!A20:F84,3,FALSE)),"0",VLOOKUP($A30,Program_Review_Data!A20:F84,3,FALSE))</f>
        <v>122</v>
      </c>
      <c r="J30" s="25">
        <f t="shared" si="2"/>
        <v>0.45018450184501846</v>
      </c>
      <c r="K30" s="268">
        <f>IF(ISNA(VLOOKUP($A30,Other_Data!A20:E84,2,FALSE)),"0",VLOOKUP($A30,Other_Data!A20:E84,2,FALSE))</f>
        <v>936</v>
      </c>
      <c r="L30" s="1">
        <f>IF(ISNA(VLOOKUP($A30,Other_Data!A20:E84,3,FALSE)),"0",VLOOKUP($A30,Other_Data!A20:E84,3,FALSE))</f>
        <v>351</v>
      </c>
      <c r="M30" s="25">
        <f t="shared" si="3"/>
        <v>0.375</v>
      </c>
      <c r="N30" s="1">
        <f>IF(ISNA(VLOOKUP($A30,Burial_Data!$A$2:$C$65,2,FALSE)),"0",VLOOKUP($A30,Burial_Data!$A$2:$C$65,2,FALSE))</f>
        <v>1</v>
      </c>
      <c r="O30" s="352">
        <f>IF(ISNA(VLOOKUP($A30,Accrued_Data!$A$2:$D$65,3,FALSE)),"0",VLOOKUP($A30,Accrued_Data!$A$2:$D$65,3,FALSE))</f>
        <v>4</v>
      </c>
      <c r="P30" s="302">
        <f>'[1]ResultingReport'!$J33</f>
        <v>3309</v>
      </c>
      <c r="Q30" s="295"/>
    </row>
    <row r="31" spans="1:17" ht="12" customHeight="1">
      <c r="A31" t="s">
        <v>448</v>
      </c>
      <c r="B31" s="301">
        <f>IF(ISNA(VLOOKUP(A31,Entitlement_Data!A$3:C$64,2,FALSE)),"0",VLOOKUP(A31,Entitlement_Data!A$3:C$64,2,FALSE))</f>
        <v>10223</v>
      </c>
      <c r="C31" s="301">
        <f>IF(ISNA(VLOOKUP(A31,Entitlement_Data!A$3:D$64,3,FALSE)),"0",VLOOKUP(A31,Entitlement_Data!A$3:D$64,3,FALSE))</f>
        <v>6982</v>
      </c>
      <c r="D31" s="25">
        <f t="shared" si="0"/>
        <v>0.6829697740389318</v>
      </c>
      <c r="E31" s="352">
        <f>IF(ISNA(VLOOKUP(A31,'Award Adjustment_Data'!A$2:F$68,3,FALSE)),"0",VLOOKUP(A31,'Award Adjustment_Data'!A$2:F$68,3,FALSE))</f>
        <v>3900</v>
      </c>
      <c r="F31" s="352">
        <f>IF(ISNA(VLOOKUP(A31,'Award Adjustment_Data'!A$2:G$68,4,FALSE)),"0",VLOOKUP(A31,'Award Adjustment_Data'!A$2:G$68,4,FALSE))</f>
        <v>1435</v>
      </c>
      <c r="G31" s="25">
        <f t="shared" si="1"/>
        <v>0.367948717948718</v>
      </c>
      <c r="H31" s="1">
        <f>IF(ISNA(VLOOKUP(A31,Program_Review_Data!A21:E85,2,FALSE)),"0",VLOOKUP(A31,Program_Review_Data!A21:E85,2,FALSE))</f>
        <v>1510</v>
      </c>
      <c r="I31" s="1">
        <f>IF(ISNA(VLOOKUP($A31,Program_Review_Data!A21:F85,3,FALSE)),"0",VLOOKUP($A31,Program_Review_Data!A21:F85,3,FALSE))</f>
        <v>1052</v>
      </c>
      <c r="J31" s="25">
        <f t="shared" si="2"/>
        <v>0.6966887417218544</v>
      </c>
      <c r="K31" s="268">
        <f>IF(ISNA(VLOOKUP($A31,Other_Data!A21:E85,2,FALSE)),"0",VLOOKUP($A31,Other_Data!A21:E85,2,FALSE))</f>
        <v>914</v>
      </c>
      <c r="L31" s="1">
        <f>IF(ISNA(VLOOKUP($A31,Other_Data!A21:E85,3,FALSE)),"0",VLOOKUP($A31,Other_Data!A21:E85,3,FALSE))</f>
        <v>664</v>
      </c>
      <c r="M31" s="25">
        <f t="shared" si="3"/>
        <v>0.7264770240700219</v>
      </c>
      <c r="N31" s="1">
        <f>IF(ISNA(VLOOKUP($A31,Burial_Data!$A$2:$C$65,2,FALSE)),"0",VLOOKUP($A31,Burial_Data!$A$2:$C$65,2,FALSE))</f>
        <v>44</v>
      </c>
      <c r="O31" s="352">
        <f>IF(ISNA(VLOOKUP($A31,Accrued_Data!$A$2:$D$65,3,FALSE)),"0",VLOOKUP($A31,Accrued_Data!$A$2:$D$65,3,FALSE))</f>
        <v>13</v>
      </c>
      <c r="P31" s="302">
        <f>'[1]ResultingReport'!$J34</f>
        <v>4061</v>
      </c>
      <c r="Q31" s="295"/>
    </row>
    <row r="32" spans="1:17" ht="12" customHeight="1">
      <c r="A32" t="s">
        <v>452</v>
      </c>
      <c r="B32" s="301">
        <f>IF(ISNA(VLOOKUP(A32,Entitlement_Data!A$3:C$64,2,FALSE)),"0",VLOOKUP(A32,Entitlement_Data!A$3:C$64,2,FALSE))</f>
        <v>11306</v>
      </c>
      <c r="C32" s="301">
        <f>IF(ISNA(VLOOKUP(A32,Entitlement_Data!A$3:D$64,3,FALSE)),"0",VLOOKUP(A32,Entitlement_Data!A$3:D$64,3,FALSE))</f>
        <v>7501</v>
      </c>
      <c r="D32" s="25">
        <f t="shared" si="0"/>
        <v>0.6634530337873695</v>
      </c>
      <c r="E32" s="352">
        <f>IF(ISNA(VLOOKUP(A32,'Award Adjustment_Data'!A$2:F$68,3,FALSE)),"0",VLOOKUP(A32,'Award Adjustment_Data'!A$2:F$68,3,FALSE))</f>
        <v>5597</v>
      </c>
      <c r="F32" s="352">
        <f>IF(ISNA(VLOOKUP(A32,'Award Adjustment_Data'!A$2:G$68,4,FALSE)),"0",VLOOKUP(A32,'Award Adjustment_Data'!A$2:G$68,4,FALSE))</f>
        <v>4257</v>
      </c>
      <c r="G32" s="25">
        <f t="shared" si="1"/>
        <v>0.7605860282294086</v>
      </c>
      <c r="H32" s="1">
        <f>IF(ISNA(VLOOKUP(A32,Program_Review_Data!A22:E86,2,FALSE)),"0",VLOOKUP(A32,Program_Review_Data!A22:E86,2,FALSE))</f>
        <v>1529</v>
      </c>
      <c r="I32" s="1">
        <f>IF(ISNA(VLOOKUP($A32,Program_Review_Data!A22:F86,3,FALSE)),"0",VLOOKUP($A32,Program_Review_Data!A22:F86,3,FALSE))</f>
        <v>1057</v>
      </c>
      <c r="J32" s="25">
        <f t="shared" si="2"/>
        <v>0.6913015042511446</v>
      </c>
      <c r="K32" s="268">
        <f>IF(ISNA(VLOOKUP($A32,Other_Data!A22:E86,2,FALSE)),"0",VLOOKUP($A32,Other_Data!A22:E86,2,FALSE))</f>
        <v>1452</v>
      </c>
      <c r="L32" s="1">
        <f>IF(ISNA(VLOOKUP($A32,Other_Data!A22:E86,3,FALSE)),"0",VLOOKUP($A32,Other_Data!A22:E86,3,FALSE))</f>
        <v>971</v>
      </c>
      <c r="M32" s="25">
        <f t="shared" si="3"/>
        <v>0.668732782369146</v>
      </c>
      <c r="N32" s="1">
        <f>IF(ISNA(VLOOKUP($A32,Burial_Data!$A$2:$C$65,2,FALSE)),"0",VLOOKUP($A32,Burial_Data!$A$2:$C$65,2,FALSE))</f>
        <v>26</v>
      </c>
      <c r="O32" s="352">
        <f>IF(ISNA(VLOOKUP($A32,Accrued_Data!$A$2:$D$65,3,FALSE)),"0",VLOOKUP($A32,Accrued_Data!$A$2:$D$65,3,FALSE))</f>
        <v>60</v>
      </c>
      <c r="P32" s="302">
        <f>'[1]ResultingReport'!$J35</f>
        <v>3344</v>
      </c>
      <c r="Q32" s="295"/>
    </row>
    <row r="33" spans="1:17" ht="12" customHeight="1">
      <c r="A33" t="s">
        <v>456</v>
      </c>
      <c r="B33" s="301">
        <f>IF(ISNA(VLOOKUP(A33,Entitlement_Data!A$3:C$64,2,FALSE)),"0",VLOOKUP(A33,Entitlement_Data!A$3:C$64,2,FALSE))+1</f>
        <v>14955</v>
      </c>
      <c r="C33" s="301">
        <f>IF(ISNA(VLOOKUP(A33,Entitlement_Data!A$3:D$64,3,FALSE)),"0",VLOOKUP(A33,Entitlement_Data!A$3:D$64,3,FALSE))+1</f>
        <v>10180</v>
      </c>
      <c r="D33" s="25">
        <f t="shared" si="0"/>
        <v>0.6807087930458041</v>
      </c>
      <c r="E33" s="352">
        <f>IF(ISNA(VLOOKUP(A33,'Award Adjustment_Data'!A$2:F$68,3,FALSE)),"0",VLOOKUP(A33,'Award Adjustment_Data'!A$2:F$68,3,FALSE))</f>
        <v>7233</v>
      </c>
      <c r="F33" s="352">
        <f>IF(ISNA(VLOOKUP(A33,'Award Adjustment_Data'!A$2:G$68,4,FALSE)),"0",VLOOKUP(A33,'Award Adjustment_Data'!A$2:G$68,4,FALSE))</f>
        <v>4932</v>
      </c>
      <c r="G33" s="25">
        <f t="shared" si="1"/>
        <v>0.6818747407714641</v>
      </c>
      <c r="H33" s="1">
        <f>IF(ISNA(VLOOKUP(A33,Program_Review_Data!A23:E87,2,FALSE)),"0",VLOOKUP(A33,Program_Review_Data!A23:E87,2,FALSE))</f>
        <v>3337</v>
      </c>
      <c r="I33" s="1">
        <f>IF(ISNA(VLOOKUP($A33,Program_Review_Data!A23:F87,3,FALSE)),"0",VLOOKUP($A33,Program_Review_Data!A23:F87,3,FALSE))</f>
        <v>1894</v>
      </c>
      <c r="J33" s="25">
        <f t="shared" si="2"/>
        <v>0.5675756667665568</v>
      </c>
      <c r="K33" s="268">
        <f>IF(ISNA(VLOOKUP($A33,Other_Data!A23:E87,2,FALSE)),"0",VLOOKUP($A33,Other_Data!A23:E87,2,FALSE))</f>
        <v>1254</v>
      </c>
      <c r="L33" s="1">
        <f>IF(ISNA(VLOOKUP($A33,Other_Data!A23:E87,3,FALSE)),"0",VLOOKUP($A33,Other_Data!A23:E87,3,FALSE))</f>
        <v>895</v>
      </c>
      <c r="M33" s="25">
        <f t="shared" si="3"/>
        <v>0.7137161084529505</v>
      </c>
      <c r="N33" s="1">
        <f>IF(ISNA(VLOOKUP($A33,Burial_Data!$A$2:$C$65,2,FALSE)),"0",VLOOKUP($A33,Burial_Data!$A$2:$C$65,2,FALSE))</f>
        <v>3</v>
      </c>
      <c r="O33" s="352">
        <f>IF(ISNA(VLOOKUP($A33,Accrued_Data!$A$2:$D$65,3,FALSE)),"0",VLOOKUP($A33,Accrued_Data!$A$2:$D$65,3,FALSE))</f>
        <v>80</v>
      </c>
      <c r="P33" s="302">
        <f>'[1]ResultingReport'!$J36</f>
        <v>10667</v>
      </c>
      <c r="Q33" s="295"/>
    </row>
    <row r="34" spans="1:17" ht="12" customHeight="1">
      <c r="A34" t="s">
        <v>457</v>
      </c>
      <c r="B34" s="301">
        <f>IF(ISNA(VLOOKUP(A34,Entitlement_Data!A$3:C$64,2,FALSE)),"0",VLOOKUP(A34,Entitlement_Data!A$3:C$64,2,FALSE))</f>
        <v>13021</v>
      </c>
      <c r="C34" s="301">
        <f>IF(ISNA(VLOOKUP(A34,Entitlement_Data!A$3:D$64,3,FALSE)),"0",VLOOKUP(A34,Entitlement_Data!A$3:D$64,3,FALSE))</f>
        <v>5890</v>
      </c>
      <c r="D34" s="25">
        <f t="shared" si="0"/>
        <v>0.4523462099685124</v>
      </c>
      <c r="E34" s="352">
        <f>IF(ISNA(VLOOKUP(A34,'Award Adjustment_Data'!A$2:F$68,3,FALSE)),"0",VLOOKUP(A34,'Award Adjustment_Data'!A$2:F$68,3,FALSE))</f>
        <v>6148</v>
      </c>
      <c r="F34" s="352">
        <f>IF(ISNA(VLOOKUP(A34,'Award Adjustment_Data'!A$2:G$68,4,FALSE)),"0",VLOOKUP(A34,'Award Adjustment_Data'!A$2:G$68,4,FALSE))</f>
        <v>3131</v>
      </c>
      <c r="G34" s="25">
        <f t="shared" si="1"/>
        <v>0.5092713077423552</v>
      </c>
      <c r="H34" s="1">
        <f>IF(ISNA(VLOOKUP(A34,Program_Review_Data!A24:E88,2,FALSE)),"0",VLOOKUP(A34,Program_Review_Data!A24:E88,2,FALSE))</f>
        <v>1061</v>
      </c>
      <c r="I34" s="1">
        <f>IF(ISNA(VLOOKUP($A34,Program_Review_Data!A24:F88,3,FALSE)),"0",VLOOKUP($A34,Program_Review_Data!A24:F88,3,FALSE))</f>
        <v>331</v>
      </c>
      <c r="J34" s="25">
        <f t="shared" si="2"/>
        <v>0.31196983977379833</v>
      </c>
      <c r="K34" s="268">
        <f>IF(ISNA(VLOOKUP($A34,Other_Data!A24:E88,2,FALSE)),"0",VLOOKUP($A34,Other_Data!A24:E88,2,FALSE))</f>
        <v>1519</v>
      </c>
      <c r="L34" s="1">
        <f>IF(ISNA(VLOOKUP($A34,Other_Data!A24:E88,3,FALSE)),"0",VLOOKUP($A34,Other_Data!A24:E88,3,FALSE))</f>
        <v>686</v>
      </c>
      <c r="M34" s="25">
        <f t="shared" si="3"/>
        <v>0.45161290322580644</v>
      </c>
      <c r="N34" s="1">
        <f>IF(ISNA(VLOOKUP($A34,Burial_Data!$A$2:$C$65,2,FALSE)),"0",VLOOKUP($A34,Burial_Data!$A$2:$C$65,2,FALSE))</f>
        <v>6</v>
      </c>
      <c r="O34" s="352">
        <f>IF(ISNA(VLOOKUP($A34,Accrued_Data!$A$2:$D$65,3,FALSE)),"0",VLOOKUP($A34,Accrued_Data!$A$2:$D$65,3,FALSE))</f>
        <v>50</v>
      </c>
      <c r="P34" s="302">
        <f>'[1]ResultingReport'!$J37</f>
        <v>6420</v>
      </c>
      <c r="Q34" s="295"/>
    </row>
    <row r="35" spans="1:17" ht="12" customHeight="1">
      <c r="A35" t="s">
        <v>468</v>
      </c>
      <c r="B35" s="301">
        <f>IF(ISNA(VLOOKUP(A35,Entitlement_Data!A$3:C$64,2,FALSE)),"0",VLOOKUP(A35,Entitlement_Data!A$3:C$64,2,FALSE))</f>
        <v>29634</v>
      </c>
      <c r="C35" s="301">
        <f>IF(ISNA(VLOOKUP(A35,Entitlement_Data!A$3:D$64,3,FALSE)),"0",VLOOKUP(A35,Entitlement_Data!A$3:D$64,3,FALSE))</f>
        <v>22738</v>
      </c>
      <c r="D35" s="25">
        <f t="shared" si="0"/>
        <v>0.7672943240871971</v>
      </c>
      <c r="E35" s="352">
        <f>IF(ISNA(VLOOKUP(A35,'Award Adjustment_Data'!A$2:F$68,3,FALSE)),"0",VLOOKUP(A35,'Award Adjustment_Data'!A$2:F$68,3,FALSE))</f>
        <v>9631</v>
      </c>
      <c r="F35" s="352">
        <f>IF(ISNA(VLOOKUP(A35,'Award Adjustment_Data'!A$2:G$68,4,FALSE)),"0",VLOOKUP(A35,'Award Adjustment_Data'!A$2:G$68,4,FALSE))</f>
        <v>6719</v>
      </c>
      <c r="G35" s="25">
        <f t="shared" si="1"/>
        <v>0.6976430277229779</v>
      </c>
      <c r="H35" s="1">
        <f>IF(ISNA(VLOOKUP(A35,Program_Review_Data!A25:E89,2,FALSE)),"0",VLOOKUP(A35,Program_Review_Data!A25:E89,2,FALSE))</f>
        <v>1108</v>
      </c>
      <c r="I35" s="1">
        <f>IF(ISNA(VLOOKUP($A35,Program_Review_Data!A25:F89,3,FALSE)),"0",VLOOKUP($A35,Program_Review_Data!A25:F89,3,FALSE))</f>
        <v>377</v>
      </c>
      <c r="J35" s="25">
        <f t="shared" si="2"/>
        <v>0.34025270758122744</v>
      </c>
      <c r="K35" s="268">
        <f>IF(ISNA(VLOOKUP($A35,Other_Data!A25:E89,2,FALSE)),"0",VLOOKUP($A35,Other_Data!A25:E89,2,FALSE))</f>
        <v>2456</v>
      </c>
      <c r="L35" s="1">
        <f>IF(ISNA(VLOOKUP($A35,Other_Data!A25:E89,3,FALSE)),"0",VLOOKUP($A35,Other_Data!A25:E89,3,FALSE))</f>
        <v>1914</v>
      </c>
      <c r="M35" s="25">
        <f t="shared" si="3"/>
        <v>0.7793159609120521</v>
      </c>
      <c r="N35" s="1">
        <f>IF(ISNA(VLOOKUP($A35,Burial_Data!$A$2:$C$65,2,FALSE)),"0",VLOOKUP($A35,Burial_Data!$A$2:$C$65,2,FALSE))</f>
        <v>1</v>
      </c>
      <c r="O35" s="352">
        <f>IF(ISNA(VLOOKUP($A35,Accrued_Data!$A$2:$D$65,3,FALSE)),"0",VLOOKUP($A35,Accrued_Data!$A$2:$D$65,3,FALSE))</f>
        <v>16</v>
      </c>
      <c r="P35" s="302">
        <f>'[1]ResultingReport'!$J38</f>
        <v>6914</v>
      </c>
      <c r="Q35" s="295"/>
    </row>
    <row r="36" spans="1:17" ht="12" customHeight="1">
      <c r="A36" t="s">
        <v>471</v>
      </c>
      <c r="B36" s="301">
        <f>IF(ISNA(VLOOKUP(A36,Entitlement_Data!A$3:C$64,2,FALSE)),"0",VLOOKUP(A36,Entitlement_Data!A$3:C$64,2,FALSE))</f>
        <v>4991</v>
      </c>
      <c r="C36" s="301">
        <f>IF(ISNA(VLOOKUP(A36,Entitlement_Data!A$3:D$64,3,FALSE)),"0",VLOOKUP(A36,Entitlement_Data!A$3:D$64,3,FALSE))</f>
        <v>2985</v>
      </c>
      <c r="D36" s="25">
        <f t="shared" si="0"/>
        <v>0.5980765377679824</v>
      </c>
      <c r="E36" s="352">
        <f>IF(ISNA(VLOOKUP(A36,'Award Adjustment_Data'!A$2:F$68,3,FALSE)),"0",VLOOKUP(A36,'Award Adjustment_Data'!A$2:F$68,3,FALSE))</f>
        <v>2389</v>
      </c>
      <c r="F36" s="352">
        <f>IF(ISNA(VLOOKUP(A36,'Award Adjustment_Data'!A$2:G$68,4,FALSE)),"0",VLOOKUP(A36,'Award Adjustment_Data'!A$2:G$68,4,FALSE))</f>
        <v>1375</v>
      </c>
      <c r="G36" s="25">
        <f t="shared" si="1"/>
        <v>0.575554625366262</v>
      </c>
      <c r="H36" s="1">
        <f>IF(ISNA(VLOOKUP(A36,Program_Review_Data!A26:E90,2,FALSE)),"0",VLOOKUP(A36,Program_Review_Data!A26:E90,2,FALSE))</f>
        <v>315</v>
      </c>
      <c r="I36" s="1">
        <f>IF(ISNA(VLOOKUP($A36,Program_Review_Data!A26:F90,3,FALSE)),"0",VLOOKUP($A36,Program_Review_Data!A26:F90,3,FALSE))</f>
        <v>179</v>
      </c>
      <c r="J36" s="25">
        <f t="shared" si="2"/>
        <v>0.5682539682539682</v>
      </c>
      <c r="K36" s="268">
        <f>IF(ISNA(VLOOKUP($A36,Other_Data!A26:E90,2,FALSE)),"0",VLOOKUP($A36,Other_Data!A26:E90,2,FALSE))</f>
        <v>1246</v>
      </c>
      <c r="L36" s="1">
        <f>IF(ISNA(VLOOKUP($A36,Other_Data!A26:E90,3,FALSE)),"0",VLOOKUP($A36,Other_Data!A26:E90,3,FALSE))</f>
        <v>1050</v>
      </c>
      <c r="M36" s="25">
        <f t="shared" si="3"/>
        <v>0.8426966292134831</v>
      </c>
      <c r="N36" s="1">
        <f>IF(ISNA(VLOOKUP($A36,Burial_Data!$A$2:$C$65,2,FALSE)),"0",VLOOKUP($A36,Burial_Data!$A$2:$C$65,2,FALSE))</f>
        <v>0</v>
      </c>
      <c r="O36" s="352" t="str">
        <f>IF(ISNA(VLOOKUP($A36,Accrued_Data!$A$2:$D$65,3,FALSE)),"0",VLOOKUP($A36,Accrued_Data!$A$2:$D$65,3,FALSE))</f>
        <v>0</v>
      </c>
      <c r="P36" s="302">
        <f>'[1]ResultingReport'!$J39</f>
        <v>5098</v>
      </c>
      <c r="Q36" s="295"/>
    </row>
    <row r="37" spans="1:17" ht="12" customHeight="1">
      <c r="A37" t="s">
        <v>476</v>
      </c>
      <c r="B37" s="301">
        <f>IF(ISNA(VLOOKUP(A37,Entitlement_Data!A$3:C$64,2,FALSE)),"0",VLOOKUP(A37,Entitlement_Data!A$3:C$64,2,FALSE))</f>
        <v>47732</v>
      </c>
      <c r="C37" s="301">
        <f>IF(ISNA(VLOOKUP(A37,Entitlement_Data!A$3:D$64,3,FALSE)),"0",VLOOKUP(A37,Entitlement_Data!A$3:D$64,3,FALSE))</f>
        <v>32083</v>
      </c>
      <c r="D37" s="25">
        <f t="shared" si="0"/>
        <v>0.6721486633704852</v>
      </c>
      <c r="E37" s="352">
        <f>IF(ISNA(VLOOKUP(A37,'Award Adjustment_Data'!A$2:F$68,3,FALSE)),"0",VLOOKUP(A37,'Award Adjustment_Data'!A$2:F$68,3,FALSE))</f>
        <v>16302</v>
      </c>
      <c r="F37" s="352">
        <f>IF(ISNA(VLOOKUP(A37,'Award Adjustment_Data'!A$2:G$68,4,FALSE)),"0",VLOOKUP(A37,'Award Adjustment_Data'!A$2:G$68,4,FALSE))</f>
        <v>10381</v>
      </c>
      <c r="G37" s="25">
        <f t="shared" si="1"/>
        <v>0.6367930315298737</v>
      </c>
      <c r="H37" s="1">
        <f>IF(ISNA(VLOOKUP(A37,Program_Review_Data!A27:E91,2,FALSE)),"0",VLOOKUP(A37,Program_Review_Data!A27:E91,2,FALSE))</f>
        <v>2720</v>
      </c>
      <c r="I37" s="1">
        <f>IF(ISNA(VLOOKUP($A37,Program_Review_Data!A27:F91,3,FALSE)),"0",VLOOKUP($A37,Program_Review_Data!A27:F91,3,FALSE))</f>
        <v>591</v>
      </c>
      <c r="J37" s="25">
        <f t="shared" si="2"/>
        <v>0.2172794117647059</v>
      </c>
      <c r="K37" s="268">
        <f>IF(ISNA(VLOOKUP($A37,Other_Data!A27:E91,2,FALSE)),"0",VLOOKUP($A37,Other_Data!A27:E91,2,FALSE))</f>
        <v>2621</v>
      </c>
      <c r="L37" s="1">
        <f>IF(ISNA(VLOOKUP($A37,Other_Data!A27:E91,3,FALSE)),"0",VLOOKUP($A37,Other_Data!A27:E91,3,FALSE))</f>
        <v>1564</v>
      </c>
      <c r="M37" s="25">
        <f t="shared" si="3"/>
        <v>0.5967188096146508</v>
      </c>
      <c r="N37" s="1">
        <f>IF(ISNA(VLOOKUP($A37,Burial_Data!$A$2:$C$65,2,FALSE)),"0",VLOOKUP($A37,Burial_Data!$A$2:$C$65,2,FALSE))</f>
        <v>12</v>
      </c>
      <c r="O37" s="352">
        <f>IF(ISNA(VLOOKUP($A37,Accrued_Data!$A$2:$D$65,3,FALSE)),"0",VLOOKUP($A37,Accrued_Data!$A$2:$D$65,3,FALSE))</f>
        <v>87</v>
      </c>
      <c r="P37" s="302">
        <f>'[1]ResultingReport'!$J40</f>
        <v>20750</v>
      </c>
      <c r="Q37" s="295"/>
    </row>
    <row r="38" spans="1:17" ht="12" customHeight="1">
      <c r="A38" t="s">
        <v>479</v>
      </c>
      <c r="B38" s="301">
        <f>IF(ISNA(VLOOKUP(A38,Entitlement_Data!A$3:C$64,2,FALSE)),"0",VLOOKUP(A38,Entitlement_Data!A$3:C$64,2,FALSE))</f>
        <v>163</v>
      </c>
      <c r="C38" s="301">
        <f>IF(ISNA(VLOOKUP(A38,Entitlement_Data!A$3:D$64,3,FALSE)),"0",VLOOKUP(A38,Entitlement_Data!A$3:D$64,3,FALSE))</f>
        <v>126</v>
      </c>
      <c r="D38" s="25">
        <f t="shared" si="0"/>
        <v>0.7730061349693251</v>
      </c>
      <c r="E38" s="352">
        <f>IF(ISNA(VLOOKUP(A38,'Award Adjustment_Data'!A$2:F$68,3,FALSE)),"0",VLOOKUP(A38,'Award Adjustment_Data'!A$2:F$68,3,FALSE))</f>
        <v>172</v>
      </c>
      <c r="F38" s="352">
        <f>IF(ISNA(VLOOKUP(A38,'Award Adjustment_Data'!A$2:G$68,4,FALSE)),"0",VLOOKUP(A38,'Award Adjustment_Data'!A$2:G$68,4,FALSE))</f>
        <v>71</v>
      </c>
      <c r="G38" s="25">
        <f t="shared" si="1"/>
        <v>0.4127906976744186</v>
      </c>
      <c r="H38" s="1">
        <f>IF(ISNA(VLOOKUP(A38,Program_Review_Data!A28:E92,2,FALSE)),"0",VLOOKUP(A38,Program_Review_Data!A28:E92,2,FALSE))</f>
        <v>148</v>
      </c>
      <c r="I38" s="1">
        <f>IF(ISNA(VLOOKUP($A38,Program_Review_Data!A28:F92,3,FALSE)),"0",VLOOKUP($A38,Program_Review_Data!A28:F92,3,FALSE))</f>
        <v>40</v>
      </c>
      <c r="J38" s="25">
        <f t="shared" si="2"/>
        <v>0.2702702702702703</v>
      </c>
      <c r="K38" s="268">
        <f>IF(ISNA(VLOOKUP($A38,Other_Data!A28:E92,2,FALSE)),"0",VLOOKUP($A38,Other_Data!A28:E92,2,FALSE))</f>
        <v>924</v>
      </c>
      <c r="L38" s="1">
        <f>IF(ISNA(VLOOKUP($A38,Other_Data!A28:E92,3,FALSE)),"0",VLOOKUP($A38,Other_Data!A28:E92,3,FALSE))</f>
        <v>920</v>
      </c>
      <c r="M38" s="25">
        <f t="shared" si="3"/>
        <v>0.9956709956709957</v>
      </c>
      <c r="N38" s="1">
        <f>IF(ISNA(VLOOKUP($A38,Burial_Data!$A$2:$C$65,2,FALSE)),"0",VLOOKUP($A38,Burial_Data!$A$2:$C$65,2,FALSE))</f>
        <v>0</v>
      </c>
      <c r="O38" s="352" t="str">
        <f>IF(ISNA(VLOOKUP($A38,Accrued_Data!$A$2:$D$65,3,FALSE)),"0",VLOOKUP($A38,Accrued_Data!$A$2:$D$65,3,FALSE))</f>
        <v>0</v>
      </c>
      <c r="P38" s="302">
        <f>'[1]ResultingReport'!$J41</f>
        <v>0</v>
      </c>
      <c r="Q38" s="295"/>
    </row>
    <row r="39" spans="1:17" ht="12" customHeight="1">
      <c r="A39" s="326" t="s">
        <v>484</v>
      </c>
      <c r="B39" s="333">
        <f>IF(ISNA(VLOOKUP(A39,Entitlement_Data!A$3:C$64,2,FALSE)),"0",VLOOKUP(A39,Entitlement_Data!A$3:C$64,2,FALSE))</f>
        <v>45623</v>
      </c>
      <c r="C39" s="333">
        <f>IF(ISNA(VLOOKUP(A39,Entitlement_Data!A$3:D$64,3,FALSE)),"0",VLOOKUP(A39,Entitlement_Data!A$3:D$64,3,FALSE))</f>
        <v>30595</v>
      </c>
      <c r="D39" s="32">
        <f t="shared" si="0"/>
        <v>0.6706047388378669</v>
      </c>
      <c r="E39" s="353">
        <f>IF(ISNA(VLOOKUP(A39,'Award Adjustment_Data'!A$2:F$68,3,FALSE)),"0",VLOOKUP(A39,'Award Adjustment_Data'!A$2:F$68,3,FALSE))</f>
        <v>26246</v>
      </c>
      <c r="F39" s="353">
        <f>IF(ISNA(VLOOKUP(A39,'Award Adjustment_Data'!A$2:G$68,4,FALSE)),"0",VLOOKUP(A39,'Award Adjustment_Data'!A$2:G$68,4,FALSE))</f>
        <v>21241</v>
      </c>
      <c r="G39" s="32">
        <f t="shared" si="1"/>
        <v>0.8093042749371333</v>
      </c>
      <c r="H39" s="33">
        <f>IF(ISNA(VLOOKUP(A39,Program_Review_Data!A29:E93,2,FALSE)),"0",VLOOKUP(A39,Program_Review_Data!A29:E93,2,FALSE))</f>
        <v>6078</v>
      </c>
      <c r="I39" s="33">
        <f>IF(ISNA(VLOOKUP($A39,Program_Review_Data!A29:F93,3,FALSE)),"0",VLOOKUP($A39,Program_Review_Data!A29:F93,3,FALSE))</f>
        <v>5123</v>
      </c>
      <c r="J39" s="32">
        <f t="shared" si="2"/>
        <v>0.8428759460348799</v>
      </c>
      <c r="K39" s="270">
        <f>IF(ISNA(VLOOKUP($A39,Other_Data!A29:E93,2,FALSE)),"0",VLOOKUP($A39,Other_Data!A29:E93,2,FALSE))</f>
        <v>3620</v>
      </c>
      <c r="L39" s="33">
        <f>IF(ISNA(VLOOKUP($A39,Other_Data!A29:E93,3,FALSE)),"0",VLOOKUP($A39,Other_Data!A29:E93,3,FALSE))</f>
        <v>1513</v>
      </c>
      <c r="M39" s="32">
        <f t="shared" si="3"/>
        <v>0.4179558011049724</v>
      </c>
      <c r="N39" s="33">
        <f>IF(ISNA(VLOOKUP($A39,Burial_Data!$A$2:$C$65,2,FALSE)),"0",VLOOKUP($A39,Burial_Data!$A$2:$C$65,2,FALSE))</f>
        <v>2</v>
      </c>
      <c r="O39" s="353">
        <f>IF(ISNA(VLOOKUP($A39,Accrued_Data!$A$2:$D$65,3,FALSE)),"0",VLOOKUP($A39,Accrued_Data!$A$2:$D$65,3,FALSE))</f>
        <v>8</v>
      </c>
      <c r="P39" s="307">
        <f>'[1]ResultingReport'!$J42</f>
        <v>11242</v>
      </c>
      <c r="Q39" s="295"/>
    </row>
    <row r="40" spans="1:17" ht="12" customHeight="1">
      <c r="A40" t="s">
        <v>435</v>
      </c>
      <c r="B40" s="301">
        <f>IF(ISNA(VLOOKUP(A40,Entitlement_Data!A$3:C$64,2,FALSE)),"0",VLOOKUP(A40,Entitlement_Data!A$3:C$64,2,FALSE))</f>
        <v>21256</v>
      </c>
      <c r="C40" s="301">
        <f>IF(ISNA(VLOOKUP(A40,Entitlement_Data!A$3:D$64,3,FALSE)),"0",VLOOKUP(A40,Entitlement_Data!A$3:D$64,3,FALSE))</f>
        <v>17039</v>
      </c>
      <c r="D40" s="25">
        <f t="shared" si="0"/>
        <v>0.8016089574708317</v>
      </c>
      <c r="E40" s="352">
        <f>IF(ISNA(VLOOKUP(A40,'Award Adjustment_Data'!A$2:F$68,3,FALSE)),"0",VLOOKUP(A40,'Award Adjustment_Data'!A$2:F$68,3,FALSE))</f>
        <v>6024</v>
      </c>
      <c r="F40" s="352">
        <f>IF(ISNA(VLOOKUP(A40,'Award Adjustment_Data'!A$2:G$68,4,FALSE)),"0",VLOOKUP(A40,'Award Adjustment_Data'!A$2:G$68,4,FALSE))</f>
        <v>4986</v>
      </c>
      <c r="G40" s="25">
        <f t="shared" si="1"/>
        <v>0.8276892430278885</v>
      </c>
      <c r="H40" s="1">
        <f>IF(ISNA(VLOOKUP(A40,Program_Review_Data!A30:E94,2,FALSE)),"0",VLOOKUP(A40,Program_Review_Data!A30:E94,2,FALSE))</f>
        <v>992</v>
      </c>
      <c r="I40" s="1">
        <f>IF(ISNA(VLOOKUP($A40,Program_Review_Data!A30:F94,3,FALSE)),"0",VLOOKUP($A40,Program_Review_Data!A30:F94,3,FALSE))</f>
        <v>671</v>
      </c>
      <c r="J40" s="25">
        <f t="shared" si="2"/>
        <v>0.6764112903225806</v>
      </c>
      <c r="K40" s="268">
        <f>IF(ISNA(VLOOKUP($A40,Other_Data!A30:E94,2,FALSE)),"0",VLOOKUP($A40,Other_Data!A30:E94,2,FALSE))</f>
        <v>2863</v>
      </c>
      <c r="L40" s="1">
        <f>IF(ISNA(VLOOKUP($A40,Other_Data!A30:E94,3,FALSE)),"0",VLOOKUP($A40,Other_Data!A30:E94,3,FALSE))</f>
        <v>2436</v>
      </c>
      <c r="M40" s="25">
        <f t="shared" si="3"/>
        <v>0.8508557457212714</v>
      </c>
      <c r="N40" s="1">
        <f>IF(ISNA(VLOOKUP($A40,Burial_Data!$A$2:$C$65,2,FALSE)),"0",VLOOKUP($A40,Burial_Data!$A$2:$C$65,2,FALSE))</f>
        <v>8</v>
      </c>
      <c r="O40" s="352">
        <f>IF(ISNA(VLOOKUP($A40,Accrued_Data!$A$2:$D$65,3,FALSE)),"0",VLOOKUP($A40,Accrued_Data!$A$2:$D$65,3,FALSE))</f>
        <v>147</v>
      </c>
      <c r="P40" s="302">
        <f>'[1]ResultingReport'!$J44</f>
        <v>5692</v>
      </c>
      <c r="Q40" s="295"/>
    </row>
    <row r="41" spans="1:17" ht="12" customHeight="1">
      <c r="A41" t="s">
        <v>439</v>
      </c>
      <c r="B41" s="301">
        <f>IF(ISNA(VLOOKUP(A41,Entitlement_Data!A$3:C$64,2,FALSE)),"0",VLOOKUP(A41,Entitlement_Data!A$3:C$64,2,FALSE))</f>
        <v>6714</v>
      </c>
      <c r="C41" s="301">
        <f>IF(ISNA(VLOOKUP(A41,Entitlement_Data!A$3:D$64,3,FALSE)),"0",VLOOKUP(A41,Entitlement_Data!A$3:D$64,3,FALSE))</f>
        <v>4779</v>
      </c>
      <c r="D41" s="25">
        <f t="shared" si="0"/>
        <v>0.7117962466487936</v>
      </c>
      <c r="E41" s="352">
        <f>IF(ISNA(VLOOKUP(A41,'Award Adjustment_Data'!A$2:F$68,3,FALSE)),"0",VLOOKUP(A41,'Award Adjustment_Data'!A$2:F$68,3,FALSE))</f>
        <v>2842</v>
      </c>
      <c r="F41" s="352">
        <f>IF(ISNA(VLOOKUP(A41,'Award Adjustment_Data'!A$2:G$68,4,FALSE)),"0",VLOOKUP(A41,'Award Adjustment_Data'!A$2:G$68,4,FALSE))</f>
        <v>1880</v>
      </c>
      <c r="G41" s="25">
        <f t="shared" si="1"/>
        <v>0.661505981703026</v>
      </c>
      <c r="H41" s="1">
        <f>IF(ISNA(VLOOKUP(A41,Program_Review_Data!A31:E95,2,FALSE)),"0",VLOOKUP(A41,Program_Review_Data!A31:E95,2,FALSE))</f>
        <v>281</v>
      </c>
      <c r="I41" s="1">
        <f>IF(ISNA(VLOOKUP($A41,Program_Review_Data!A31:F95,3,FALSE)),"0",VLOOKUP($A41,Program_Review_Data!A31:F95,3,FALSE))</f>
        <v>113</v>
      </c>
      <c r="J41" s="25">
        <f t="shared" si="2"/>
        <v>0.40213523131672596</v>
      </c>
      <c r="K41" s="268">
        <f>IF(ISNA(VLOOKUP($A41,Other_Data!A31:E95,2,FALSE)),"0",VLOOKUP($A41,Other_Data!A31:E95,2,FALSE))</f>
        <v>233</v>
      </c>
      <c r="L41" s="1">
        <f>IF(ISNA(VLOOKUP($A41,Other_Data!A31:E95,3,FALSE)),"0",VLOOKUP($A41,Other_Data!A31:E95,3,FALSE))</f>
        <v>164</v>
      </c>
      <c r="M41" s="25">
        <f t="shared" si="3"/>
        <v>0.703862660944206</v>
      </c>
      <c r="N41" s="1">
        <f>IF(ISNA(VLOOKUP($A41,Burial_Data!$A$2:$C$65,2,FALSE)),"0",VLOOKUP($A41,Burial_Data!$A$2:$C$65,2,FALSE))</f>
        <v>0</v>
      </c>
      <c r="O41" s="352" t="str">
        <f>IF(ISNA(VLOOKUP($A41,Accrued_Data!$A$2:$D$65,3,FALSE)),"0",VLOOKUP($A41,Accrued_Data!$A$2:$D$65,3,FALSE))</f>
        <v>0</v>
      </c>
      <c r="P41" s="302">
        <f>'[1]ResultingReport'!$J45</f>
        <v>1186</v>
      </c>
      <c r="Q41" s="295"/>
    </row>
    <row r="42" spans="1:17" ht="12" customHeight="1">
      <c r="A42" t="s">
        <v>441</v>
      </c>
      <c r="B42" s="301">
        <f>IF(ISNA(VLOOKUP(A42,Entitlement_Data!A$3:C$64,2,FALSE)),"0",VLOOKUP(A42,Entitlement_Data!A$3:C$64,2,FALSE))</f>
        <v>1109</v>
      </c>
      <c r="C42" s="301">
        <f>IF(ISNA(VLOOKUP(A42,Entitlement_Data!A$3:D$64,3,FALSE)),"0",VLOOKUP(A42,Entitlement_Data!A$3:D$64,3,FALSE))</f>
        <v>315</v>
      </c>
      <c r="D42" s="25">
        <f t="shared" si="0"/>
        <v>0.2840396753832281</v>
      </c>
      <c r="E42" s="352">
        <f>IF(ISNA(VLOOKUP(A42,'Award Adjustment_Data'!A$2:F$68,3,FALSE)),"0",VLOOKUP(A42,'Award Adjustment_Data'!A$2:F$68,3,FALSE))</f>
        <v>301</v>
      </c>
      <c r="F42" s="352">
        <f>IF(ISNA(VLOOKUP(A42,'Award Adjustment_Data'!A$2:G$68,4,FALSE)),"0",VLOOKUP(A42,'Award Adjustment_Data'!A$2:G$68,4,FALSE))</f>
        <v>46</v>
      </c>
      <c r="G42" s="25">
        <f t="shared" si="1"/>
        <v>0.15282392026578073</v>
      </c>
      <c r="H42" s="1">
        <f>IF(ISNA(VLOOKUP(A42,Program_Review_Data!A32:E96,2,FALSE)),"0",VLOOKUP(A42,Program_Review_Data!A32:E96,2,FALSE))</f>
        <v>79</v>
      </c>
      <c r="I42" s="1">
        <f>IF(ISNA(VLOOKUP($A42,Program_Review_Data!A32:F96,3,FALSE)),"0",VLOOKUP($A42,Program_Review_Data!A32:F96,3,FALSE))</f>
        <v>21</v>
      </c>
      <c r="J42" s="25">
        <f t="shared" si="2"/>
        <v>0.26582278481012656</v>
      </c>
      <c r="K42" s="268">
        <f>IF(ISNA(VLOOKUP($A42,Other_Data!A32:E96,2,FALSE)),"0",VLOOKUP($A42,Other_Data!A32:E96,2,FALSE))</f>
        <v>46</v>
      </c>
      <c r="L42" s="1">
        <f>IF(ISNA(VLOOKUP($A42,Other_Data!A32:E96,3,FALSE)),"0",VLOOKUP($A42,Other_Data!A32:E96,3,FALSE))</f>
        <v>30</v>
      </c>
      <c r="M42" s="25">
        <f t="shared" si="3"/>
        <v>0.6521739130434783</v>
      </c>
      <c r="N42" s="1">
        <f>IF(ISNA(VLOOKUP($A42,Burial_Data!$A$2:$C$65,2,FALSE)),"0",VLOOKUP($A42,Burial_Data!$A$2:$C$65,2,FALSE))</f>
        <v>0</v>
      </c>
      <c r="O42" s="352" t="str">
        <f>IF(ISNA(VLOOKUP($A42,Accrued_Data!$A$2:$D$65,3,FALSE)),"0",VLOOKUP($A42,Accrued_Data!$A$2:$D$65,3,FALSE))</f>
        <v>0</v>
      </c>
      <c r="P42" s="302">
        <f>'[1]ResultingReport'!$J46</f>
        <v>287</v>
      </c>
      <c r="Q42" s="295"/>
    </row>
    <row r="43" spans="1:17" ht="12" customHeight="1">
      <c r="A43" t="s">
        <v>445</v>
      </c>
      <c r="B43" s="301">
        <f>IF(ISNA(VLOOKUP(A43,Entitlement_Data!A$3:C$64,2,FALSE)),"0",VLOOKUP(A43,Entitlement_Data!A$3:C$64,2,FALSE))</f>
        <v>37478</v>
      </c>
      <c r="C43" s="301">
        <f>IF(ISNA(VLOOKUP(A43,Entitlement_Data!A$3:D$64,3,FALSE)),"0",VLOOKUP(A43,Entitlement_Data!A$3:D$64,3,FALSE))</f>
        <v>27741</v>
      </c>
      <c r="D43" s="25">
        <f t="shared" si="0"/>
        <v>0.7401942472917445</v>
      </c>
      <c r="E43" s="352">
        <f>IF(ISNA(VLOOKUP(A43,'Award Adjustment_Data'!A$2:F$68,3,FALSE)),"0",VLOOKUP(A43,'Award Adjustment_Data'!A$2:F$68,3,FALSE))</f>
        <v>14993</v>
      </c>
      <c r="F43" s="352">
        <f>IF(ISNA(VLOOKUP(A43,'Award Adjustment_Data'!A$2:G$68,4,FALSE)),"0",VLOOKUP(A43,'Award Adjustment_Data'!A$2:G$68,4,FALSE))</f>
        <v>11060</v>
      </c>
      <c r="G43" s="25">
        <f t="shared" si="1"/>
        <v>0.7376775828720069</v>
      </c>
      <c r="H43" s="1">
        <f>IF(ISNA(VLOOKUP(A43,Program_Review_Data!A33:E97,2,FALSE)),"0",VLOOKUP(A43,Program_Review_Data!A33:E97,2,FALSE))</f>
        <v>2004</v>
      </c>
      <c r="I43" s="1">
        <f>IF(ISNA(VLOOKUP($A43,Program_Review_Data!A33:F97,3,FALSE)),"0",VLOOKUP($A43,Program_Review_Data!A33:F97,3,FALSE))</f>
        <v>971</v>
      </c>
      <c r="J43" s="25">
        <f t="shared" si="2"/>
        <v>0.4845309381237525</v>
      </c>
      <c r="K43" s="268">
        <f>IF(ISNA(VLOOKUP($A43,Other_Data!A33:E97,2,FALSE)),"0",VLOOKUP($A43,Other_Data!A33:E97,2,FALSE))</f>
        <v>6419</v>
      </c>
      <c r="L43" s="1">
        <f>IF(ISNA(VLOOKUP($A43,Other_Data!A33:E97,3,FALSE)),"0",VLOOKUP($A43,Other_Data!A33:E97,3,FALSE))</f>
        <v>5019</v>
      </c>
      <c r="M43" s="25">
        <f t="shared" si="3"/>
        <v>0.781897491821156</v>
      </c>
      <c r="N43" s="1">
        <f>IF(ISNA(VLOOKUP($A43,Burial_Data!$A$2:$C$65,2,FALSE)),"0",VLOOKUP($A43,Burial_Data!$A$2:$C$65,2,FALSE))</f>
        <v>5</v>
      </c>
      <c r="O43" s="352">
        <f>IF(ISNA(VLOOKUP($A43,Accrued_Data!$A$2:$D$65,3,FALSE)),"0",VLOOKUP($A43,Accrued_Data!$A$2:$D$65,3,FALSE))</f>
        <v>5</v>
      </c>
      <c r="P43" s="302">
        <f>'[1]ResultingReport'!$J47</f>
        <v>14056</v>
      </c>
      <c r="Q43" s="295"/>
    </row>
    <row r="44" spans="1:17" ht="12" customHeight="1">
      <c r="A44" t="s">
        <v>449</v>
      </c>
      <c r="B44" s="301">
        <f>IF(ISNA(VLOOKUP(A44,Entitlement_Data!A$3:C$64,2,FALSE)),"0",VLOOKUP(A44,Entitlement_Data!A$3:C$64,2,FALSE))</f>
        <v>3607</v>
      </c>
      <c r="C44" s="301">
        <f>IF(ISNA(VLOOKUP(A44,Entitlement_Data!A$3:D$64,3,FALSE)),"0",VLOOKUP(A44,Entitlement_Data!A$3:D$64,3,FALSE))</f>
        <v>1542</v>
      </c>
      <c r="D44" s="25">
        <f t="shared" si="0"/>
        <v>0.4275020792902689</v>
      </c>
      <c r="E44" s="352">
        <f>IF(ISNA(VLOOKUP(A44,'Award Adjustment_Data'!A$2:F$68,3,FALSE)),"0",VLOOKUP(A44,'Award Adjustment_Data'!A$2:F$68,3,FALSE))</f>
        <v>2061</v>
      </c>
      <c r="F44" s="352">
        <f>IF(ISNA(VLOOKUP(A44,'Award Adjustment_Data'!A$2:G$68,4,FALSE)),"0",VLOOKUP(A44,'Award Adjustment_Data'!A$2:G$68,4,FALSE))</f>
        <v>412</v>
      </c>
      <c r="G44" s="25">
        <f t="shared" si="1"/>
        <v>0.19990295972828723</v>
      </c>
      <c r="H44" s="1">
        <f>IF(ISNA(VLOOKUP(A44,Program_Review_Data!A34:E98,2,FALSE)),"0",VLOOKUP(A44,Program_Review_Data!A34:E98,2,FALSE))</f>
        <v>247</v>
      </c>
      <c r="I44" s="1">
        <f>IF(ISNA(VLOOKUP($A44,Program_Review_Data!A34:F98,3,FALSE)),"0",VLOOKUP($A44,Program_Review_Data!A34:F98,3,FALSE))</f>
        <v>86</v>
      </c>
      <c r="J44" s="25">
        <f t="shared" si="2"/>
        <v>0.3481781376518219</v>
      </c>
      <c r="K44" s="268">
        <f>IF(ISNA(VLOOKUP($A44,Other_Data!A34:E98,2,FALSE)),"0",VLOOKUP($A44,Other_Data!A34:E98,2,FALSE))</f>
        <v>529</v>
      </c>
      <c r="L44" s="1">
        <f>IF(ISNA(VLOOKUP($A44,Other_Data!A34:E98,3,FALSE)),"0",VLOOKUP($A44,Other_Data!A34:E98,3,FALSE))</f>
        <v>192</v>
      </c>
      <c r="M44" s="25">
        <f t="shared" si="3"/>
        <v>0.3629489603024575</v>
      </c>
      <c r="N44" s="1">
        <f>IF(ISNA(VLOOKUP($A44,Burial_Data!$A$2:$C$65,2,FALSE)),"0",VLOOKUP($A44,Burial_Data!$A$2:$C$65,2,FALSE))</f>
        <v>0</v>
      </c>
      <c r="O44" s="352">
        <f>IF(ISNA(VLOOKUP($A44,Accrued_Data!$A$2:$D$65,3,FALSE)),"0",VLOOKUP($A44,Accrued_Data!$A$2:$D$65,3,FALSE))</f>
        <v>1</v>
      </c>
      <c r="P44" s="302">
        <f>'[1]ResultingReport'!$J50</f>
        <v>1581</v>
      </c>
      <c r="Q44" s="295"/>
    </row>
    <row r="45" spans="1:17" ht="12" customHeight="1">
      <c r="A45" t="s">
        <v>450</v>
      </c>
      <c r="B45" s="301">
        <f>IF(ISNA(VLOOKUP(A45,Entitlement_Data!A$3:C$64,2,FALSE)),"0",VLOOKUP(A45,Entitlement_Data!A$3:C$64,2,FALSE))</f>
        <v>8427</v>
      </c>
      <c r="C45" s="301">
        <f>IF(ISNA(VLOOKUP(A45,Entitlement_Data!A$3:D$64,3,FALSE)),"0",VLOOKUP(A45,Entitlement_Data!A$3:D$64,3,FALSE))</f>
        <v>5515</v>
      </c>
      <c r="D45" s="25">
        <f t="shared" si="0"/>
        <v>0.6544440488904711</v>
      </c>
      <c r="E45" s="352">
        <f>IF(ISNA(VLOOKUP(A45,'Award Adjustment_Data'!A$2:F$68,3,FALSE)),"0",VLOOKUP(A45,'Award Adjustment_Data'!A$2:F$68,3,FALSE))</f>
        <v>5869</v>
      </c>
      <c r="F45" s="352">
        <f>IF(ISNA(VLOOKUP(A45,'Award Adjustment_Data'!A$2:G$68,4,FALSE)),"0",VLOOKUP(A45,'Award Adjustment_Data'!A$2:G$68,4,FALSE))</f>
        <v>4249</v>
      </c>
      <c r="G45" s="25">
        <f t="shared" si="1"/>
        <v>0.7239734196626342</v>
      </c>
      <c r="H45" s="1">
        <f>IF(ISNA(VLOOKUP(A45,Program_Review_Data!A35:E99,2,FALSE)),"0",VLOOKUP(A45,Program_Review_Data!A35:E99,2,FALSE))</f>
        <v>1539</v>
      </c>
      <c r="I45" s="1">
        <f>IF(ISNA(VLOOKUP($A45,Program_Review_Data!A35:F99,3,FALSE)),"0",VLOOKUP($A45,Program_Review_Data!A35:F99,3,FALSE))</f>
        <v>985</v>
      </c>
      <c r="J45" s="25">
        <f t="shared" si="2"/>
        <v>0.6400259909031839</v>
      </c>
      <c r="K45" s="268">
        <f>IF(ISNA(VLOOKUP($A45,Other_Data!A35:E99,2,FALSE)),"0",VLOOKUP($A45,Other_Data!A35:E99,2,FALSE))</f>
        <v>1415</v>
      </c>
      <c r="L45" s="1">
        <f>IF(ISNA(VLOOKUP($A45,Other_Data!A35:E99,3,FALSE)),"0",VLOOKUP($A45,Other_Data!A35:E99,3,FALSE))</f>
        <v>1109</v>
      </c>
      <c r="M45" s="25">
        <f t="shared" si="3"/>
        <v>0.7837455830388692</v>
      </c>
      <c r="N45" s="1">
        <f>IF(ISNA(VLOOKUP($A45,Burial_Data!$A$2:$C$65,2,FALSE)),"0",VLOOKUP($A45,Burial_Data!$A$2:$C$65,2,FALSE))</f>
        <v>6</v>
      </c>
      <c r="O45" s="352">
        <f>IF(ISNA(VLOOKUP($A45,Accrued_Data!$A$2:$D$65,3,FALSE)),"0",VLOOKUP($A45,Accrued_Data!$A$2:$D$65,3,FALSE))</f>
        <v>50</v>
      </c>
      <c r="P45" s="302">
        <f>'[1]ResultingReport'!$J51</f>
        <v>5249</v>
      </c>
      <c r="Q45" s="295"/>
    </row>
    <row r="46" spans="1:17" ht="13.5">
      <c r="A46" s="323" t="s">
        <v>455</v>
      </c>
      <c r="B46" s="327">
        <f>IF(ISNA(VLOOKUP(A46,Entitlement_Data!A$3:C$64,2,FALSE)),"0",VLOOKUP(A46,Entitlement_Data!A$3:C$64,2,FALSE))+1</f>
        <v>10215</v>
      </c>
      <c r="C46" s="327">
        <f>IF(ISNA(VLOOKUP(A46,Entitlement_Data!A$3:D$64,3,FALSE)),"0",VLOOKUP(A46,Entitlement_Data!A$3:D$64,3,FALSE))+1</f>
        <v>3934</v>
      </c>
      <c r="D46" s="34">
        <f t="shared" si="0"/>
        <v>0.3851199216837983</v>
      </c>
      <c r="E46" s="327">
        <f>Award_Formulas!L3-Award_Formulas!O3</f>
        <v>3482</v>
      </c>
      <c r="F46" s="35">
        <f>Award_Formulas!L6-Award_Formulas!R3</f>
        <v>1286</v>
      </c>
      <c r="G46" s="34">
        <f t="shared" si="1"/>
        <v>0.36932797242963816</v>
      </c>
      <c r="H46" s="35">
        <f>IF(ISNA(VLOOKUP(A46,Program_Review_Data!A36:E100,2,FALSE)),"0",VLOOKUP(A46,Program_Review_Data!A36:E100,2,FALSE))</f>
        <v>1840</v>
      </c>
      <c r="I46" s="35">
        <f>IF(ISNA(VLOOKUP($A46,Program_Review_Data!A36:F100,3,FALSE)),"0",VLOOKUP($A46,Program_Review_Data!A36:F100,3,FALSE))</f>
        <v>333</v>
      </c>
      <c r="J46" s="34">
        <f t="shared" si="2"/>
        <v>0.18097826086956523</v>
      </c>
      <c r="K46" s="35">
        <f>IF(ISNA(VLOOKUP($A46,Other_Data!A36:E100,2,FALSE)),"0",VLOOKUP($A46,Other_Data!A36:E100,2,FALSE))</f>
        <v>511</v>
      </c>
      <c r="L46" s="35">
        <f>IF(ISNA(VLOOKUP($A46,Other_Data!A36:E100,3,FALSE)),"0",VLOOKUP($A46,Other_Data!A36:E100,3,FALSE))</f>
        <v>171</v>
      </c>
      <c r="M46" s="34">
        <f t="shared" si="3"/>
        <v>0.33463796477495106</v>
      </c>
      <c r="N46" s="35">
        <f>IF(ISNA(VLOOKUP($A46,Burial_Data!$A$2:$C$65,2,FALSE)),"0",VLOOKUP($A46,Burial_Data!$A$2:$C$65,2,FALSE))</f>
        <v>11242</v>
      </c>
      <c r="O46" s="171" t="s">
        <v>3</v>
      </c>
      <c r="P46" s="308">
        <f>'[1]ResultingReport'!$J53</f>
        <v>3335</v>
      </c>
      <c r="Q46" s="388"/>
    </row>
    <row r="47" spans="1:17" ht="12.75">
      <c r="A47" t="s">
        <v>337</v>
      </c>
      <c r="B47" s="301">
        <f>IF(ISNA(VLOOKUP(A47,Entitlement_Data!A$3:C$64,2,FALSE)),"0",VLOOKUP(A47,Entitlement_Data!A$3:C$64,2,FALSE))+1</f>
        <v>16999</v>
      </c>
      <c r="C47" s="301">
        <f>IF(ISNA(VLOOKUP(A47,Entitlement_Data!A$3:D$64,3,FALSE)),"0",VLOOKUP(A47,Entitlement_Data!A$3:D$64,3,FALSE))+1</f>
        <v>10861</v>
      </c>
      <c r="D47" s="25">
        <f t="shared" si="0"/>
        <v>0.638919936466851</v>
      </c>
      <c r="E47" s="352">
        <f>IF(ISNA(VLOOKUP(A47,'Award Adjustment_Data'!A$2:F$68,3,FALSE)),"0",VLOOKUP(A47,'Award Adjustment_Data'!A$2:F$68,3,FALSE))</f>
        <v>5586</v>
      </c>
      <c r="F47" s="352">
        <f>IF(ISNA(VLOOKUP(A47,'Award Adjustment_Data'!A$2:G$68,4,FALSE)),"0",VLOOKUP(A47,'Award Adjustment_Data'!A$2:G$68,4,FALSE))</f>
        <v>2050</v>
      </c>
      <c r="G47" s="25">
        <f t="shared" si="1"/>
        <v>0.3669889008234873</v>
      </c>
      <c r="H47" s="1">
        <f>IF(ISNA(VLOOKUP(A47,Program_Review_Data!A37:E101,2,FALSE)),"0",VLOOKUP(A47,Program_Review_Data!A37:E101,2,FALSE))</f>
        <v>1026</v>
      </c>
      <c r="I47" s="1">
        <f>IF(ISNA(VLOOKUP($A47,Program_Review_Data!A37:F101,3,FALSE)),"0",VLOOKUP($A47,Program_Review_Data!A37:F101,3,FALSE))</f>
        <v>398</v>
      </c>
      <c r="J47" s="25">
        <f t="shared" si="2"/>
        <v>0.38791423001949316</v>
      </c>
      <c r="K47" s="268">
        <f>IF(ISNA(VLOOKUP($A47,Other_Data!A37:E101,2,FALSE)),"0",VLOOKUP($A47,Other_Data!A37:E101,2,FALSE))</f>
        <v>1004</v>
      </c>
      <c r="L47" s="1">
        <f>IF(ISNA(VLOOKUP($A47,Other_Data!A37:E101,3,FALSE)),"0",VLOOKUP($A47,Other_Data!A37:E101,3,FALSE))</f>
        <v>411</v>
      </c>
      <c r="M47" s="25">
        <f t="shared" si="3"/>
        <v>0.40936254980079684</v>
      </c>
      <c r="N47" s="1">
        <f>IF(ISNA(VLOOKUP($A47,Burial_Data!$A$2:$C$65,2,FALSE)),"0",VLOOKUP($A47,Burial_Data!$A$2:$C$65,2,FALSE))</f>
        <v>4</v>
      </c>
      <c r="O47" s="352">
        <f>IF(ISNA(VLOOKUP($A47,Accrued_Data!$A$2:$D$65,3,FALSE)),"0",VLOOKUP($A47,Accrued_Data!$A$2:$D$65,3,FALSE))</f>
        <v>2</v>
      </c>
      <c r="P47" s="309">
        <f>'[1]ResultingReport'!$J55</f>
        <v>3072</v>
      </c>
      <c r="Q47" s="388"/>
    </row>
    <row r="48" spans="1:17" ht="12.75">
      <c r="A48" t="s">
        <v>458</v>
      </c>
      <c r="B48" s="301">
        <f>IF(ISNA(VLOOKUP(A48,Entitlement_Data!A$3:C$64,2,FALSE)),"0",VLOOKUP(A48,Entitlement_Data!A$3:C$64,2,FALSE))</f>
        <v>14672</v>
      </c>
      <c r="C48" s="301">
        <f>IF(ISNA(VLOOKUP(A48,Entitlement_Data!A$3:D$64,3,FALSE)),"0",VLOOKUP(A48,Entitlement_Data!A$3:D$64,3,FALSE))</f>
        <v>10639</v>
      </c>
      <c r="D48" s="25">
        <f t="shared" si="0"/>
        <v>0.7251226826608506</v>
      </c>
      <c r="E48" s="352">
        <f>IF(ISNA(VLOOKUP(A48,'Award Adjustment_Data'!A$2:F$68,3,FALSE)),"0",VLOOKUP(A48,'Award Adjustment_Data'!A$2:F$68,3,FALSE))</f>
        <v>5577</v>
      </c>
      <c r="F48" s="352">
        <f>IF(ISNA(VLOOKUP(A48,'Award Adjustment_Data'!A$2:G$68,4,FALSE)),"0",VLOOKUP(A48,'Award Adjustment_Data'!A$2:G$68,4,FALSE))</f>
        <v>3687</v>
      </c>
      <c r="G48" s="25">
        <f t="shared" si="1"/>
        <v>0.6611081226465841</v>
      </c>
      <c r="H48" s="1">
        <f>IF(ISNA(VLOOKUP(A48,Program_Review_Data!A38:E102,2,FALSE)),"0",VLOOKUP(A48,Program_Review_Data!A38:E102,2,FALSE))</f>
        <v>371</v>
      </c>
      <c r="I48" s="1">
        <f>IF(ISNA(VLOOKUP($A48,Program_Review_Data!A38:F102,3,FALSE)),"0",VLOOKUP($A48,Program_Review_Data!A38:F102,3,FALSE))</f>
        <v>181</v>
      </c>
      <c r="J48" s="25">
        <f t="shared" si="2"/>
        <v>0.48787061994609165</v>
      </c>
      <c r="K48" s="268">
        <f>IF(ISNA(VLOOKUP($A48,Other_Data!A38:E102,2,FALSE)),"0",VLOOKUP($A48,Other_Data!A38:E102,2,FALSE))</f>
        <v>1893</v>
      </c>
      <c r="L48" s="1">
        <f>IF(ISNA(VLOOKUP($A48,Other_Data!A38:E102,3,FALSE)),"0",VLOOKUP($A48,Other_Data!A38:E102,3,FALSE))</f>
        <v>1417</v>
      </c>
      <c r="M48" s="25">
        <f t="shared" si="3"/>
        <v>0.7485472794506075</v>
      </c>
      <c r="N48" s="1">
        <f>IF(ISNA(VLOOKUP($A48,Burial_Data!$A$2:$C$65,2,FALSE)),"0",VLOOKUP($A48,Burial_Data!$A$2:$C$65,2,FALSE))</f>
        <v>15</v>
      </c>
      <c r="O48" s="352">
        <f>IF(ISNA(VLOOKUP($A48,Accrued_Data!$A$2:$D$65,3,FALSE)),"0",VLOOKUP($A48,Accrued_Data!$A$2:$D$65,3,FALSE))</f>
        <v>120</v>
      </c>
      <c r="P48" s="309">
        <f>'[1]ResultingReport'!$J56</f>
        <v>4677</v>
      </c>
      <c r="Q48" s="388"/>
    </row>
    <row r="49" spans="1:17" ht="12.75">
      <c r="A49" t="s">
        <v>473</v>
      </c>
      <c r="B49" s="301">
        <f>IF(ISNA(VLOOKUP(A49,Entitlement_Data!A$3:C$64,2,FALSE)),"0",VLOOKUP(A49,Entitlement_Data!A$3:C$64,2,FALSE))</f>
        <v>958</v>
      </c>
      <c r="C49" s="301">
        <f>IF(ISNA(VLOOKUP(A49,Entitlement_Data!A$3:D$64,3,FALSE)),"0",VLOOKUP(A49,Entitlement_Data!A$3:D$64,3,FALSE))</f>
        <v>280</v>
      </c>
      <c r="D49" s="25">
        <f t="shared" si="0"/>
        <v>0.29227557411273486</v>
      </c>
      <c r="E49" s="352">
        <f>IF(ISNA(VLOOKUP(A49,'Award Adjustment_Data'!A$2:F$68,3,FALSE)),"0",VLOOKUP(A49,'Award Adjustment_Data'!A$2:F$68,3,FALSE))</f>
        <v>726</v>
      </c>
      <c r="F49" s="352">
        <f>IF(ISNA(VLOOKUP(A49,'Award Adjustment_Data'!A$2:G$68,4,FALSE)),"0",VLOOKUP(A49,'Award Adjustment_Data'!A$2:G$68,4,FALSE))</f>
        <v>44</v>
      </c>
      <c r="G49" s="25">
        <f t="shared" si="1"/>
        <v>0.06060606060606061</v>
      </c>
      <c r="H49" s="1">
        <f>IF(ISNA(VLOOKUP(A49,Program_Review_Data!A39:E103,2,FALSE)),"0",VLOOKUP(A49,Program_Review_Data!A39:E103,2,FALSE))</f>
        <v>367</v>
      </c>
      <c r="I49" s="1">
        <f>IF(ISNA(VLOOKUP($A49,Program_Review_Data!A39:F103,3,FALSE)),"0",VLOOKUP($A49,Program_Review_Data!A39:F103,3,FALSE))</f>
        <v>35</v>
      </c>
      <c r="J49" s="25">
        <f t="shared" si="2"/>
        <v>0.09536784741144415</v>
      </c>
      <c r="K49" s="268">
        <f>IF(ISNA(VLOOKUP($A49,Other_Data!A39:E103,2,FALSE)),"0",VLOOKUP($A49,Other_Data!A39:E103,2,FALSE))</f>
        <v>181</v>
      </c>
      <c r="L49" s="1">
        <f>IF(ISNA(VLOOKUP($A49,Other_Data!A39:E103,3,FALSE)),"0",VLOOKUP($A49,Other_Data!A39:E103,3,FALSE))</f>
        <v>91</v>
      </c>
      <c r="M49" s="25">
        <f t="shared" si="3"/>
        <v>0.5027624309392266</v>
      </c>
      <c r="N49" s="1">
        <f>IF(ISNA(VLOOKUP($A49,Burial_Data!$A$2:$C$65,2,FALSE)),"0",VLOOKUP($A49,Burial_Data!$A$2:$C$65,2,FALSE))</f>
        <v>0</v>
      </c>
      <c r="O49" s="352">
        <f>IF(ISNA(VLOOKUP($A49,Accrued_Data!$A$2:$D$65,3,FALSE)),"0",VLOOKUP($A49,Accrued_Data!$A$2:$D$65,3,FALSE))</f>
        <v>1</v>
      </c>
      <c r="P49" s="309">
        <f>'[1]ResultingReport'!$J57</f>
        <v>230</v>
      </c>
      <c r="Q49" s="388"/>
    </row>
    <row r="50" spans="1:17" ht="12.75">
      <c r="A50" t="s">
        <v>474</v>
      </c>
      <c r="B50" s="301">
        <f>IF(ISNA(VLOOKUP(A50,Entitlement_Data!A$3:C$64,2,FALSE)),"0",VLOOKUP(A50,Entitlement_Data!A$3:C$64,2,FALSE))</f>
        <v>20057</v>
      </c>
      <c r="C50" s="301">
        <f>IF(ISNA(VLOOKUP(A50,Entitlement_Data!A$3:D$64,3,FALSE)),"0",VLOOKUP(A50,Entitlement_Data!A$3:D$64,3,FALSE))</f>
        <v>14189</v>
      </c>
      <c r="D50" s="25">
        <f t="shared" si="0"/>
        <v>0.7074338136311512</v>
      </c>
      <c r="E50" s="352">
        <f>IF(ISNA(VLOOKUP(A50,'Award Adjustment_Data'!A$2:F$68,3,FALSE)),"0",VLOOKUP(A50,'Award Adjustment_Data'!A$2:F$68,3,FALSE))</f>
        <v>6129</v>
      </c>
      <c r="F50" s="352">
        <f>IF(ISNA(VLOOKUP(A50,'Award Adjustment_Data'!A$2:G$68,4,FALSE)),"0",VLOOKUP(A50,'Award Adjustment_Data'!A$2:G$68,4,FALSE))</f>
        <v>3833</v>
      </c>
      <c r="G50" s="25">
        <f t="shared" si="1"/>
        <v>0.6253875020394845</v>
      </c>
      <c r="H50" s="1">
        <f>IF(ISNA(VLOOKUP(A50,Program_Review_Data!A40:E104,2,FALSE)),"0",VLOOKUP(A50,Program_Review_Data!A40:E104,2,FALSE))</f>
        <v>1246</v>
      </c>
      <c r="I50" s="1">
        <f>IF(ISNA(VLOOKUP($A50,Program_Review_Data!A40:F104,3,FALSE)),"0",VLOOKUP($A50,Program_Review_Data!A40:F104,3,FALSE))</f>
        <v>785</v>
      </c>
      <c r="J50" s="25">
        <f t="shared" si="2"/>
        <v>0.630016051364366</v>
      </c>
      <c r="K50" s="268">
        <f>IF(ISNA(VLOOKUP($A50,Other_Data!A40:E104,2,FALSE)),"0",VLOOKUP($A50,Other_Data!A40:E104,2,FALSE))</f>
        <v>1717</v>
      </c>
      <c r="L50" s="1">
        <f>IF(ISNA(VLOOKUP($A50,Other_Data!A40:E104,3,FALSE)),"0",VLOOKUP($A50,Other_Data!A40:E104,3,FALSE))</f>
        <v>1061</v>
      </c>
      <c r="M50" s="25">
        <f t="shared" si="3"/>
        <v>0.6179382644146768</v>
      </c>
      <c r="N50" s="1">
        <f>IF(ISNA(VLOOKUP($A50,Burial_Data!$A$2:$C$65,2,FALSE)),"0",VLOOKUP($A50,Burial_Data!$A$2:$C$65,2,FALSE))</f>
        <v>14</v>
      </c>
      <c r="O50" s="352">
        <f>IF(ISNA(VLOOKUP($A50,Accrued_Data!$A$2:$D$65,3,FALSE)),"0",VLOOKUP($A50,Accrued_Data!$A$2:$D$65,3,FALSE))</f>
        <v>125</v>
      </c>
      <c r="P50" s="309">
        <f>'[1]ResultingReport'!$J58</f>
        <v>5382</v>
      </c>
      <c r="Q50" s="388"/>
    </row>
    <row r="51" spans="1:17" ht="13.5">
      <c r="A51" s="323" t="s">
        <v>475</v>
      </c>
      <c r="B51" s="327">
        <f>IF(ISNA(VLOOKUP(A51,Entitlement_Data!A$3:C$64,2,FALSE)),"0",VLOOKUP(A51,Entitlement_Data!A$3:C$64,2,FALSE))</f>
        <v>12284</v>
      </c>
      <c r="C51" s="327">
        <f>IF(ISNA(VLOOKUP(A51,Entitlement_Data!A$3:D$64,3,FALSE)),"0",VLOOKUP(A51,Entitlement_Data!A$3:D$64,3,FALSE))</f>
        <v>3877</v>
      </c>
      <c r="D51" s="34">
        <f t="shared" si="0"/>
        <v>0.315613806577662</v>
      </c>
      <c r="E51" s="327">
        <f>Award_Formulas!L4-Award_Formulas!O4</f>
        <v>3321</v>
      </c>
      <c r="F51" s="35">
        <f>Award_Formulas!L7-Award_Formulas!R4</f>
        <v>430</v>
      </c>
      <c r="G51" s="34">
        <f t="shared" si="1"/>
        <v>0.12947907256850347</v>
      </c>
      <c r="H51" s="35">
        <f>IF(ISNA(VLOOKUP(A51,Program_Review_Data!A41:E105,2,FALSE)),"0",VLOOKUP(A51,Program_Review_Data!A41:E105,2,FALSE))</f>
        <v>4625</v>
      </c>
      <c r="I51" s="35">
        <f>IF(ISNA(VLOOKUP($A51,Program_Review_Data!A41:F105,3,FALSE)),"0",VLOOKUP($A51,Program_Review_Data!A41:F105,3,FALSE))</f>
        <v>1927</v>
      </c>
      <c r="J51" s="34">
        <f t="shared" si="2"/>
        <v>0.41664864864864865</v>
      </c>
      <c r="K51" s="35">
        <f>IF(ISNA(VLOOKUP($A51,Other_Data!A41:E105,2,FALSE)),"0",VLOOKUP($A51,Other_Data!A41:E105,2,FALSE))</f>
        <v>573</v>
      </c>
      <c r="L51" s="35">
        <f>IF(ISNA(VLOOKUP($A51,Other_Data!A41:E105,3,FALSE)),"0",VLOOKUP($A51,Other_Data!A41:E105,3,FALSE))</f>
        <v>302</v>
      </c>
      <c r="M51" s="34">
        <f t="shared" si="3"/>
        <v>0.5270506108202443</v>
      </c>
      <c r="N51" s="35">
        <f>IF(ISNA(VLOOKUP($A51,Burial_Data!$A$2:$C$65,2,FALSE)),"0",VLOOKUP($A51,Burial_Data!$A$2:$C$65,2,FALSE))</f>
        <v>14261</v>
      </c>
      <c r="O51" s="171" t="s">
        <v>3</v>
      </c>
      <c r="P51" s="308">
        <f>'[1]ResultingReport'!$J60</f>
        <v>1387</v>
      </c>
      <c r="Q51" s="388"/>
    </row>
    <row r="52" spans="1:17" ht="12.75">
      <c r="A52" t="s">
        <v>478</v>
      </c>
      <c r="B52" s="301">
        <f>IF(ISNA(VLOOKUP(A52,Entitlement_Data!A$3:C$64,2,FALSE)),"0",VLOOKUP(A52,Entitlement_Data!A$3:C$64,2,FALSE))</f>
        <v>47308</v>
      </c>
      <c r="C52" s="301">
        <f>IF(ISNA(VLOOKUP(A52,Entitlement_Data!A$3:D$64,3,FALSE)),"0",VLOOKUP(A52,Entitlement_Data!A$3:D$64,3,FALSE))</f>
        <v>36735</v>
      </c>
      <c r="D52" s="25">
        <f t="shared" si="0"/>
        <v>0.7765071446689777</v>
      </c>
      <c r="E52" s="352">
        <f>IF(ISNA(VLOOKUP(A52,'Award Adjustment_Data'!A$2:F$68,3,FALSE)),"0",VLOOKUP(A52,'Award Adjustment_Data'!A$2:F$68,3,FALSE))</f>
        <v>11636</v>
      </c>
      <c r="F52" s="352">
        <f>IF(ISNA(VLOOKUP(A52,'Award Adjustment_Data'!A$2:G$68,4,FALSE)),"0",VLOOKUP(A52,'Award Adjustment_Data'!A$2:G$68,4,FALSE))</f>
        <v>6476</v>
      </c>
      <c r="G52" s="25">
        <f t="shared" si="1"/>
        <v>0.556548642145067</v>
      </c>
      <c r="H52" s="1">
        <f>IF(ISNA(VLOOKUP(A52,Program_Review_Data!A42:E106,2,FALSE)),"0",VLOOKUP(A52,Program_Review_Data!A42:E106,2,FALSE))</f>
        <v>1415</v>
      </c>
      <c r="I52" s="1">
        <f>IF(ISNA(VLOOKUP($A52,Program_Review_Data!A42:F106,3,FALSE)),"0",VLOOKUP($A52,Program_Review_Data!A42:F106,3,FALSE))</f>
        <v>604</v>
      </c>
      <c r="J52" s="25">
        <f t="shared" si="2"/>
        <v>0.4268551236749117</v>
      </c>
      <c r="K52" s="268">
        <f>IF(ISNA(VLOOKUP($A52,Other_Data!A42:E106,2,FALSE)),"0",VLOOKUP($A52,Other_Data!A42:E106,2,FALSE))</f>
        <v>3394</v>
      </c>
      <c r="L52" s="1">
        <f>IF(ISNA(VLOOKUP($A52,Other_Data!A42:E106,3,FALSE)),"0",VLOOKUP($A52,Other_Data!A42:E106,3,FALSE))</f>
        <v>2255</v>
      </c>
      <c r="M52" s="25">
        <f t="shared" si="3"/>
        <v>0.664407778432528</v>
      </c>
      <c r="N52" s="1">
        <f>IF(ISNA(VLOOKUP($A52,Burial_Data!$A$2:$C$65,2,FALSE)),"0",VLOOKUP($A52,Burial_Data!$A$2:$C$65,2,FALSE))</f>
        <v>6</v>
      </c>
      <c r="O52" s="352">
        <f>IF(ISNA(VLOOKUP($A52,Accrued_Data!$A$2:$D$65,3,FALSE)),"0",VLOOKUP($A52,Accrued_Data!$A$2:$D$65,3,FALSE))</f>
        <v>11</v>
      </c>
      <c r="P52" s="309">
        <f>'[1]ResultingReport'!$J62</f>
        <v>12877</v>
      </c>
      <c r="Q52" s="388"/>
    </row>
    <row r="53" spans="1:17" ht="12.75">
      <c r="A53" s="326" t="s">
        <v>482</v>
      </c>
      <c r="B53" s="333">
        <f>IF(ISNA(VLOOKUP(A53,Entitlement_Data!A$3:C$64,2,FALSE)),"0",VLOOKUP(A53,Entitlement_Data!A$3:C$64,2,FALSE))</f>
        <v>5107</v>
      </c>
      <c r="C53" s="333">
        <f>IF(ISNA(VLOOKUP(A53,Entitlement_Data!A$3:D$64,3,FALSE)),"0",VLOOKUP(A53,Entitlement_Data!A$3:D$64,3,FALSE))</f>
        <v>3017</v>
      </c>
      <c r="D53" s="32">
        <f t="shared" si="0"/>
        <v>0.5907577834345017</v>
      </c>
      <c r="E53" s="353">
        <f>IF(ISNA(VLOOKUP(A53,'Award Adjustment_Data'!A$2:F$68,3,FALSE)),"0",VLOOKUP(A53,'Award Adjustment_Data'!A$2:F$68,3,FALSE))</f>
        <v>1744</v>
      </c>
      <c r="F53" s="353">
        <f>IF(ISNA(VLOOKUP(A53,'Award Adjustment_Data'!A$2:G$68,4,FALSE)),"0",VLOOKUP(A53,'Award Adjustment_Data'!A$2:G$68,4,FALSE))</f>
        <v>849</v>
      </c>
      <c r="G53" s="32">
        <f t="shared" si="1"/>
        <v>0.4868119266055046</v>
      </c>
      <c r="H53" s="33">
        <f>IF(ISNA(VLOOKUP(A53,Program_Review_Data!A43:E107,2,FALSE)),"0",VLOOKUP(A53,Program_Review_Data!A43:E107,2,FALSE))</f>
        <v>121</v>
      </c>
      <c r="I53" s="33">
        <f>IF(ISNA(VLOOKUP($A53,Program_Review_Data!A43:F107,3,FALSE)),"0",VLOOKUP($A53,Program_Review_Data!A43:F107,3,FALSE))</f>
        <v>32</v>
      </c>
      <c r="J53" s="32">
        <f t="shared" si="2"/>
        <v>0.2644628099173554</v>
      </c>
      <c r="K53" s="270">
        <f>IF(ISNA(VLOOKUP($A53,Other_Data!A43:E107,2,FALSE)),"0",VLOOKUP($A53,Other_Data!A43:E107,2,FALSE))</f>
        <v>591</v>
      </c>
      <c r="L53" s="33">
        <f>IF(ISNA(VLOOKUP($A53,Other_Data!A43:E107,3,FALSE)),"0",VLOOKUP($A53,Other_Data!A43:E107,3,FALSE))</f>
        <v>430</v>
      </c>
      <c r="M53" s="32">
        <f t="shared" si="3"/>
        <v>0.727580372250423</v>
      </c>
      <c r="N53" s="33">
        <f>IF(ISNA(VLOOKUP($A53,Burial_Data!$A$2:$C$65,2,FALSE)),"0",VLOOKUP($A53,Burial_Data!$A$2:$C$65,2,FALSE))</f>
        <v>0</v>
      </c>
      <c r="O53" s="353" t="str">
        <f>IF(ISNA(VLOOKUP($A53,Accrued_Data!$A$2:$D$65,3,FALSE)),"0",VLOOKUP($A53,Accrued_Data!$A$2:$D$65,3,FALSE))</f>
        <v>0</v>
      </c>
      <c r="P53" s="307">
        <f>'[1]ResultingReport'!$J63</f>
        <v>952</v>
      </c>
      <c r="Q53" s="295"/>
    </row>
    <row r="54" spans="1:17" ht="12.75">
      <c r="A54" t="s">
        <v>428</v>
      </c>
      <c r="B54" s="301">
        <f>IF(ISNA(VLOOKUP(A54,Entitlement_Data!A$3:C$64,2,FALSE)),"0",VLOOKUP(A54,Entitlement_Data!A$3:C$64,2,FALSE))</f>
        <v>4975</v>
      </c>
      <c r="C54" s="301">
        <f>IF(ISNA(VLOOKUP(A54,Entitlement_Data!A$3:D$64,3,FALSE)),"0",VLOOKUP(A54,Entitlement_Data!A$3:D$64,3,FALSE))</f>
        <v>2864</v>
      </c>
      <c r="D54" s="25">
        <f t="shared" si="0"/>
        <v>0.575678391959799</v>
      </c>
      <c r="E54" s="352">
        <f>IF(ISNA(VLOOKUP(A54,'Award Adjustment_Data'!A$2:F$68,3,FALSE)),"0",VLOOKUP(A54,'Award Adjustment_Data'!A$2:F$68,3,FALSE))</f>
        <v>2209</v>
      </c>
      <c r="F54" s="352">
        <f>IF(ISNA(VLOOKUP(A54,'Award Adjustment_Data'!A$2:G$68,4,FALSE)),"0",VLOOKUP(A54,'Award Adjustment_Data'!A$2:G$68,4,FALSE))</f>
        <v>1326</v>
      </c>
      <c r="G54" s="25">
        <f t="shared" si="1"/>
        <v>0.6002716161158895</v>
      </c>
      <c r="H54" s="1">
        <f>IF(ISNA(VLOOKUP(A54,Program_Review_Data!A44:E108,2,FALSE)),"0",VLOOKUP(A54,Program_Review_Data!A44:E108,2,FALSE))</f>
        <v>417</v>
      </c>
      <c r="I54" s="1">
        <f>IF(ISNA(VLOOKUP($A54,Program_Review_Data!A44:F108,3,FALSE)),"0",VLOOKUP($A54,Program_Review_Data!A44:F108,3,FALSE))</f>
        <v>130</v>
      </c>
      <c r="J54" s="25">
        <f t="shared" si="2"/>
        <v>0.3117505995203837</v>
      </c>
      <c r="K54" s="268">
        <f>IF(ISNA(VLOOKUP($A54,Other_Data!A44:E108,2,FALSE)),"0",VLOOKUP($A54,Other_Data!A44:E108,2,FALSE))</f>
        <v>598</v>
      </c>
      <c r="L54" s="1">
        <f>IF(ISNA(VLOOKUP($A54,Other_Data!A44:E108,3,FALSE)),"0",VLOOKUP($A54,Other_Data!A44:E108,3,FALSE))</f>
        <v>425</v>
      </c>
      <c r="M54" s="25">
        <f t="shared" si="3"/>
        <v>0.7107023411371237</v>
      </c>
      <c r="N54" s="1">
        <f>IF(ISNA(VLOOKUP($A54,Burial_Data!$A$2:$C$65,2,FALSE)),"0",VLOOKUP($A54,Burial_Data!$A$2:$C$65,2,FALSE))</f>
        <v>2</v>
      </c>
      <c r="O54" s="352">
        <f>IF(ISNA(VLOOKUP($A54,Accrued_Data!$A$2:$D$65,3,FALSE)),"0",VLOOKUP($A54,Accrued_Data!$A$2:$D$65,3,FALSE))</f>
        <v>2</v>
      </c>
      <c r="P54" s="302">
        <f>'[1]ResultingReport'!$J65</f>
        <v>1795</v>
      </c>
      <c r="Q54" s="295"/>
    </row>
    <row r="55" spans="1:17" ht="12.75">
      <c r="A55" t="s">
        <v>430</v>
      </c>
      <c r="B55" s="301">
        <f>IF(ISNA(VLOOKUP(A55,Entitlement_Data!A$3:C$64,2,FALSE)),"0",VLOOKUP(A55,Entitlement_Data!A$3:C$64,2,FALSE))</f>
        <v>2700</v>
      </c>
      <c r="C55" s="301">
        <f>IF(ISNA(VLOOKUP(A55,Entitlement_Data!A$3:D$64,3,FALSE)),"0",VLOOKUP(A55,Entitlement_Data!A$3:D$64,3,FALSE))</f>
        <v>1901</v>
      </c>
      <c r="D55" s="25">
        <f t="shared" si="0"/>
        <v>0.7040740740740741</v>
      </c>
      <c r="E55" s="352">
        <f>IF(ISNA(VLOOKUP(A55,'Award Adjustment_Data'!A$2:F$68,3,FALSE)),"0",VLOOKUP(A55,'Award Adjustment_Data'!A$2:F$68,3,FALSE))</f>
        <v>2187</v>
      </c>
      <c r="F55" s="352">
        <f>IF(ISNA(VLOOKUP(A55,'Award Adjustment_Data'!A$2:G$68,4,FALSE)),"0",VLOOKUP(A55,'Award Adjustment_Data'!A$2:G$68,4,FALSE))</f>
        <v>1827</v>
      </c>
      <c r="G55" s="25">
        <f t="shared" si="1"/>
        <v>0.8353909465020576</v>
      </c>
      <c r="H55" s="1">
        <f>IF(ISNA(VLOOKUP(A55,Program_Review_Data!A45:E109,2,FALSE)),"0",VLOOKUP(A55,Program_Review_Data!A45:E109,2,FALSE))</f>
        <v>1100</v>
      </c>
      <c r="I55" s="1">
        <f>IF(ISNA(VLOOKUP($A55,Program_Review_Data!A45:F109,3,FALSE)),"0",VLOOKUP($A55,Program_Review_Data!A45:F109,3,FALSE))</f>
        <v>852</v>
      </c>
      <c r="J55" s="25">
        <f t="shared" si="2"/>
        <v>0.7745454545454545</v>
      </c>
      <c r="K55" s="268">
        <f>IF(ISNA(VLOOKUP($A55,Other_Data!A45:E109,2,FALSE)),"0",VLOOKUP($A55,Other_Data!A45:E109,2,FALSE))</f>
        <v>310</v>
      </c>
      <c r="L55" s="1">
        <f>IF(ISNA(VLOOKUP($A55,Other_Data!A45:E109,3,FALSE)),"0",VLOOKUP($A55,Other_Data!A45:E109,3,FALSE))</f>
        <v>226</v>
      </c>
      <c r="M55" s="25">
        <f t="shared" si="3"/>
        <v>0.7290322580645161</v>
      </c>
      <c r="N55" s="1">
        <f>IF(ISNA(VLOOKUP($A55,Burial_Data!$A$2:$C$65,2,FALSE)),"0",VLOOKUP($A55,Burial_Data!$A$2:$C$65,2,FALSE))</f>
        <v>0</v>
      </c>
      <c r="O55" s="352" t="str">
        <f>IF(ISNA(VLOOKUP($A55,Accrued_Data!$A$2:$D$65,3,FALSE)),"0",VLOOKUP($A55,Accrued_Data!$A$2:$D$65,3,FALSE))</f>
        <v>0</v>
      </c>
      <c r="P55" s="302">
        <f>'[1]ResultingReport'!$J66</f>
        <v>152</v>
      </c>
      <c r="Q55" s="295"/>
    </row>
    <row r="56" spans="1:17" ht="12.75">
      <c r="A56" t="s">
        <v>432</v>
      </c>
      <c r="B56" s="301">
        <f>IF(ISNA(VLOOKUP(A56,Entitlement_Data!A$3:C$64,2,FALSE)),"0",VLOOKUP(A56,Entitlement_Data!A$3:C$64,2,FALSE))</f>
        <v>2176</v>
      </c>
      <c r="C56" s="301">
        <f>IF(ISNA(VLOOKUP(A56,Entitlement_Data!A$3:D$64,3,FALSE)),"0",VLOOKUP(A56,Entitlement_Data!A$3:D$64,3,FALSE))</f>
        <v>960</v>
      </c>
      <c r="D56" s="25">
        <f t="shared" si="0"/>
        <v>0.4411764705882353</v>
      </c>
      <c r="E56" s="352">
        <f>IF(ISNA(VLOOKUP(A56,'Award Adjustment_Data'!A$2:F$68,3,FALSE)),"0",VLOOKUP(A56,'Award Adjustment_Data'!A$2:F$68,3,FALSE))</f>
        <v>1489</v>
      </c>
      <c r="F56" s="352">
        <f>IF(ISNA(VLOOKUP(A56,'Award Adjustment_Data'!A$2:G$68,4,FALSE)),"0",VLOOKUP(A56,'Award Adjustment_Data'!A$2:G$68,4,FALSE))</f>
        <v>824</v>
      </c>
      <c r="G56" s="25">
        <f t="shared" si="1"/>
        <v>0.5533915379449295</v>
      </c>
      <c r="H56" s="1">
        <f>IF(ISNA(VLOOKUP(A56,Program_Review_Data!A46:E110,2,FALSE)),"0",VLOOKUP(A56,Program_Review_Data!A46:E110,2,FALSE))</f>
        <v>241</v>
      </c>
      <c r="I56" s="1">
        <f>IF(ISNA(VLOOKUP($A56,Program_Review_Data!A46:F110,3,FALSE)),"0",VLOOKUP($A56,Program_Review_Data!A46:F110,3,FALSE))</f>
        <v>122</v>
      </c>
      <c r="J56" s="25">
        <f t="shared" si="2"/>
        <v>0.5062240663900415</v>
      </c>
      <c r="K56" s="268">
        <f>IF(ISNA(VLOOKUP($A56,Other_Data!A46:E110,2,FALSE)),"0",VLOOKUP($A56,Other_Data!A46:E110,2,FALSE))</f>
        <v>451</v>
      </c>
      <c r="L56" s="1">
        <f>IF(ISNA(VLOOKUP($A56,Other_Data!A46:E110,3,FALSE)),"0",VLOOKUP($A56,Other_Data!A46:E110,3,FALSE))</f>
        <v>238</v>
      </c>
      <c r="M56" s="25">
        <f t="shared" si="3"/>
        <v>0.5277161862527716</v>
      </c>
      <c r="N56" s="1">
        <f>IF(ISNA(VLOOKUP($A56,Burial_Data!$A$2:$C$65,2,FALSE)),"0",VLOOKUP($A56,Burial_Data!$A$2:$C$65,2,FALSE))</f>
        <v>0</v>
      </c>
      <c r="O56" s="352">
        <f>IF(ISNA(VLOOKUP($A56,Accrued_Data!$A$2:$D$65,3,FALSE)),"0",VLOOKUP($A56,Accrued_Data!$A$2:$D$65,3,FALSE))</f>
        <v>1</v>
      </c>
      <c r="P56" s="302">
        <f>'[1]ResultingReport'!$J67</f>
        <v>993</v>
      </c>
      <c r="Q56" s="295"/>
    </row>
    <row r="57" spans="1:17" ht="13.5">
      <c r="A57" s="325" t="s">
        <v>438</v>
      </c>
      <c r="B57" s="301">
        <f>Ent_Formulas!D2</f>
        <v>13423</v>
      </c>
      <c r="C57" s="301">
        <f>Ent_Formulas!D3</f>
        <v>8533</v>
      </c>
      <c r="D57" s="269">
        <f>C57/B57</f>
        <v>0.6356999180511063</v>
      </c>
      <c r="E57" s="352">
        <f>Award_Formulas!D2</f>
        <v>6409</v>
      </c>
      <c r="F57" s="352">
        <f>Award_Formulas!D3</f>
        <v>3979</v>
      </c>
      <c r="G57" s="269">
        <f>F57/E57</f>
        <v>0.6208456857544079</v>
      </c>
      <c r="H57" s="1">
        <f>IF(ISNA(VLOOKUP(A57,Program_Review_Data!A47:E111,2,FALSE)),"0",VLOOKUP(A57,Program_Review_Data!A47:E111,2,FALSE))</f>
        <v>1247</v>
      </c>
      <c r="I57" s="1">
        <f>IF(ISNA(VLOOKUP($A57,Program_Review_Data!A47:F111,3,FALSE)),"0",VLOOKUP($A57,Program_Review_Data!A47:F111,3,FALSE))</f>
        <v>604</v>
      </c>
      <c r="J57" s="269">
        <f>I57/H57</f>
        <v>0.4843624699278268</v>
      </c>
      <c r="K57" s="268">
        <f>IF(ISNA(VLOOKUP($A57,Other_Data!A47:E111,2,FALSE)),"0",VLOOKUP($A57,Other_Data!A47:E111,2,FALSE))</f>
        <v>1748</v>
      </c>
      <c r="L57" s="1">
        <f>IF(ISNA(VLOOKUP($A57,Other_Data!A47:E111,3,FALSE)),"0",VLOOKUP($A57,Other_Data!A47:E111,3,FALSE))</f>
        <v>991</v>
      </c>
      <c r="M57" s="269">
        <f>L57/K57</f>
        <v>0.566933638443936</v>
      </c>
      <c r="N57" s="1">
        <f>IF(ISNA(VLOOKUP($A57,Burial_Data!$A$2:$C$65,2,FALSE)),"0",VLOOKUP($A57,Burial_Data!$A$2:$C$65,2,FALSE))</f>
        <v>6</v>
      </c>
      <c r="O57" s="352">
        <f>IF(ISNA(VLOOKUP($A57,Accrued_Data!$A$2:$D$65,3,FALSE)),"0",VLOOKUP($A57,Accrued_Data!$A$2:$D$65,3,FALSE))</f>
        <v>4</v>
      </c>
      <c r="P57" s="302">
        <f>'[1]ResultingReport'!$J68</f>
        <v>301</v>
      </c>
      <c r="Q57" s="295"/>
    </row>
    <row r="58" spans="1:17" ht="13.5">
      <c r="A58" s="325" t="s">
        <v>434</v>
      </c>
      <c r="B58" s="301">
        <f>IF(ISNA(VLOOKUP(A58,Entitlement_Data!A$3:C$64,2,FALSE)),"0",VLOOKUP(A58,Entitlement_Data!A$3:C$64,2,FALSE))</f>
        <v>1221</v>
      </c>
      <c r="C58" s="301">
        <f>IF(ISNA(VLOOKUP(A58,Entitlement_Data!A$3:D$64,3,FALSE)),"0",VLOOKUP(A58,Entitlement_Data!A$3:D$64,3,FALSE))</f>
        <v>425</v>
      </c>
      <c r="D58" s="269">
        <f>C58/B58</f>
        <v>0.34807534807534807</v>
      </c>
      <c r="E58" s="352">
        <f>IF(ISNA(VLOOKUP(A58,'Award Adjustment_Data'!A$2:F$68,3,FALSE)),"0",VLOOKUP(A58,'Award Adjustment_Data'!A$2:F$68,3,FALSE))</f>
        <v>607</v>
      </c>
      <c r="F58" s="352">
        <f>IF(ISNA(VLOOKUP(A58,'Award Adjustment_Data'!A$2:G$68,4,FALSE)),"0",VLOOKUP(A58,'Award Adjustment_Data'!A$2:G$68,4,FALSE))</f>
        <v>277</v>
      </c>
      <c r="G58" s="269">
        <f>F58/E58</f>
        <v>0.45634266886326197</v>
      </c>
      <c r="H58" s="1">
        <f>IF(ISNA(VLOOKUP(A58,Program_Review_Data!A48:E112,2,FALSE)),"0",VLOOKUP(A58,Program_Review_Data!A48:E112,2,FALSE))</f>
        <v>88</v>
      </c>
      <c r="I58" s="1">
        <f>IF(ISNA(VLOOKUP($A58,Program_Review_Data!A48:F112,3,FALSE)),"0",VLOOKUP($A58,Program_Review_Data!A48:F112,3,FALSE))</f>
        <v>24</v>
      </c>
      <c r="J58" s="269">
        <f>I58/H58</f>
        <v>0.2727272727272727</v>
      </c>
      <c r="K58" s="268">
        <f>IF(ISNA(VLOOKUP($A58,Other_Data!A48:E112,2,FALSE)),"0",VLOOKUP($A58,Other_Data!A48:E112,2,FALSE))</f>
        <v>171</v>
      </c>
      <c r="L58" s="1">
        <f>IF(ISNA(VLOOKUP($A58,Other_Data!A48:E112,3,FALSE)),"0",VLOOKUP($A58,Other_Data!A48:E112,3,FALSE))</f>
        <v>91</v>
      </c>
      <c r="M58" s="269">
        <f>L58/K58</f>
        <v>0.5321637426900585</v>
      </c>
      <c r="N58" s="1">
        <f>IF(ISNA(VLOOKUP($A58,Burial_Data!$A$2:$C$65,2,FALSE)),"0",VLOOKUP($A58,Burial_Data!$A$2:$C$65,2,FALSE))</f>
        <v>2</v>
      </c>
      <c r="O58" s="352">
        <f>IF(ISNA(VLOOKUP($A58,Accrued_Data!$A$2:$D$65,3,FALSE)),"0",VLOOKUP($A58,Accrued_Data!$A$2:$D$65,3,FALSE))</f>
        <v>3</v>
      </c>
      <c r="P58" s="302">
        <f>'[1]ResultingReport'!$J69</f>
        <v>3789</v>
      </c>
      <c r="Q58" s="295"/>
    </row>
    <row r="59" spans="1:17" ht="12.75">
      <c r="A59" t="s">
        <v>442</v>
      </c>
      <c r="B59" s="301">
        <f>IF(ISNA(VLOOKUP(A59,Entitlement_Data!A$3:C$64,2,FALSE)),"0",VLOOKUP(A59,Entitlement_Data!A$3:C$64,2,FALSE))</f>
        <v>2255</v>
      </c>
      <c r="C59" s="301">
        <f>IF(ISNA(VLOOKUP(A59,Entitlement_Data!A$3:D$64,3,FALSE)),"0",VLOOKUP(A59,Entitlement_Data!A$3:D$64,3,FALSE))</f>
        <v>1153</v>
      </c>
      <c r="D59" s="269">
        <f aca="true" t="shared" si="4" ref="D59:D69">C59/B59</f>
        <v>0.5113082039911309</v>
      </c>
      <c r="E59" s="352">
        <f>IF(ISNA(VLOOKUP(A59,'Award Adjustment_Data'!A$2:F$68,3,FALSE)),"0",VLOOKUP(A59,'Award Adjustment_Data'!A$2:F$68,3,FALSE))</f>
        <v>1185</v>
      </c>
      <c r="F59" s="352">
        <f>IF(ISNA(VLOOKUP(A59,'Award Adjustment_Data'!A$2:G$68,4,FALSE)),"0",VLOOKUP(A59,'Award Adjustment_Data'!A$2:G$68,4,FALSE))</f>
        <v>663</v>
      </c>
      <c r="G59" s="269">
        <f aca="true" t="shared" si="5" ref="G59:G69">F59/E59</f>
        <v>0.5594936708860759</v>
      </c>
      <c r="H59" s="1">
        <f>IF(ISNA(VLOOKUP(A59,Program_Review_Data!A49:E113,2,FALSE)),"0",VLOOKUP(A59,Program_Review_Data!A49:E113,2,FALSE))</f>
        <v>203</v>
      </c>
      <c r="I59" s="1">
        <f>IF(ISNA(VLOOKUP($A59,Program_Review_Data!A49:F113,3,FALSE)),"0",VLOOKUP($A59,Program_Review_Data!A49:F113,3,FALSE))</f>
        <v>112</v>
      </c>
      <c r="J59" s="269">
        <f aca="true" t="shared" si="6" ref="J59:J69">I59/H59</f>
        <v>0.5517241379310345</v>
      </c>
      <c r="K59" s="268">
        <f>IF(ISNA(VLOOKUP($A59,Other_Data!A49:E113,2,FALSE)),"0",VLOOKUP($A59,Other_Data!A49:E113,2,FALSE))</f>
        <v>343</v>
      </c>
      <c r="L59" s="1">
        <f>IF(ISNA(VLOOKUP($A59,Other_Data!A49:E113,3,FALSE)),"0",VLOOKUP($A59,Other_Data!A49:E113,3,FALSE))</f>
        <v>205</v>
      </c>
      <c r="M59" s="269">
        <f aca="true" t="shared" si="7" ref="M59:M69">L59/K59</f>
        <v>0.597667638483965</v>
      </c>
      <c r="N59" s="1">
        <f>IF(ISNA(VLOOKUP($A59,Burial_Data!$A$2:$C$65,2,FALSE)),"0",VLOOKUP($A59,Burial_Data!$A$2:$C$65,2,FALSE))</f>
        <v>1</v>
      </c>
      <c r="O59" s="352">
        <f>IF(ISNA(VLOOKUP($A59,Accrued_Data!$A$2:$D$65,3,FALSE)),"0",VLOOKUP($A59,Accrued_Data!$A$2:$D$65,3,FALSE))</f>
        <v>1</v>
      </c>
      <c r="P59" s="310">
        <f>'[1]ResultingReport'!$J70</f>
        <v>272</v>
      </c>
      <c r="Q59" s="295"/>
    </row>
    <row r="60" spans="1:17" ht="12.75">
      <c r="A60" t="s">
        <v>444</v>
      </c>
      <c r="B60" s="301">
        <f>IF(ISNA(VLOOKUP(A60,Entitlement_Data!A$3:C$64,2,FALSE)),"0",VLOOKUP(A60,Entitlement_Data!A$3:C$64,2,FALSE))</f>
        <v>5980</v>
      </c>
      <c r="C60" s="301">
        <f>IF(ISNA(VLOOKUP(A60,Entitlement_Data!A$3:D$64,3,FALSE)),"0",VLOOKUP(A60,Entitlement_Data!A$3:D$64,3,FALSE))</f>
        <v>4545</v>
      </c>
      <c r="D60" s="269">
        <f t="shared" si="4"/>
        <v>0.7600334448160535</v>
      </c>
      <c r="E60" s="352">
        <f>IF(ISNA(VLOOKUP(A60,'Award Adjustment_Data'!A$2:F$68,3,FALSE)),"0",VLOOKUP(A60,'Award Adjustment_Data'!A$2:F$68,3,FALSE))</f>
        <v>1892</v>
      </c>
      <c r="F60" s="352">
        <f>IF(ISNA(VLOOKUP(A60,'Award Adjustment_Data'!A$2:G$68,4,FALSE)),"0",VLOOKUP(A60,'Award Adjustment_Data'!A$2:G$68,4,FALSE))</f>
        <v>969</v>
      </c>
      <c r="G60" s="269">
        <f t="shared" si="5"/>
        <v>0.5121564482029598</v>
      </c>
      <c r="H60" s="1">
        <f>IF(ISNA(VLOOKUP(A60,Program_Review_Data!A50:E114,2,FALSE)),"0",VLOOKUP(A60,Program_Review_Data!A50:E114,2,FALSE))</f>
        <v>180</v>
      </c>
      <c r="I60" s="1">
        <f>IF(ISNA(VLOOKUP($A60,Program_Review_Data!A50:F114,3,FALSE)),"0",VLOOKUP($A60,Program_Review_Data!A50:F114,3,FALSE))</f>
        <v>118</v>
      </c>
      <c r="J60" s="269">
        <f t="shared" si="6"/>
        <v>0.6555555555555556</v>
      </c>
      <c r="K60" s="268">
        <f>IF(ISNA(VLOOKUP($A60,Other_Data!A50:E114,2,FALSE)),"0",VLOOKUP($A60,Other_Data!A50:E114,2,FALSE))</f>
        <v>858</v>
      </c>
      <c r="L60" s="1">
        <f>IF(ISNA(VLOOKUP($A60,Other_Data!A50:E114,3,FALSE)),"0",VLOOKUP($A60,Other_Data!A50:E114,3,FALSE))</f>
        <v>740</v>
      </c>
      <c r="M60" s="269">
        <f t="shared" si="7"/>
        <v>0.8624708624708625</v>
      </c>
      <c r="N60" s="1">
        <f>IF(ISNA(VLOOKUP($A60,Burial_Data!$A$2:$C$65,2,FALSE)),"0",VLOOKUP($A60,Burial_Data!$A$2:$C$65,2,FALSE))</f>
        <v>4</v>
      </c>
      <c r="O60" s="352" t="str">
        <f>IF(ISNA(VLOOKUP($A60,Accrued_Data!$A$2:$D$65,3,FALSE)),"0",VLOOKUP($A60,Accrued_Data!$A$2:$D$65,3,FALSE))</f>
        <v>0</v>
      </c>
      <c r="P60" s="310">
        <f>'[1]ResultingReport'!$J71</f>
        <v>777</v>
      </c>
      <c r="Q60" s="295"/>
    </row>
    <row r="61" spans="1:17" ht="12.75">
      <c r="A61" t="s">
        <v>451</v>
      </c>
      <c r="B61" s="301">
        <f>IF(ISNA(VLOOKUP(A61,Entitlement_Data!A$3:C$64,2,FALSE)),"0",VLOOKUP(A61,Entitlement_Data!A$3:C$64,2,FALSE))</f>
        <v>22341</v>
      </c>
      <c r="C61" s="301">
        <f>IF(ISNA(VLOOKUP(A61,Entitlement_Data!A$3:D$64,3,FALSE)),"0",VLOOKUP(A61,Entitlement_Data!A$3:D$64,3,FALSE))</f>
        <v>18460</v>
      </c>
      <c r="D61" s="269">
        <f t="shared" si="4"/>
        <v>0.8262835146143861</v>
      </c>
      <c r="E61" s="352">
        <f>IF(ISNA(VLOOKUP(A61,'Award Adjustment_Data'!A$2:F$68,3,FALSE)),"0",VLOOKUP(A61,'Award Adjustment_Data'!A$2:F$68,3,FALSE))</f>
        <v>6578</v>
      </c>
      <c r="F61" s="352">
        <f>IF(ISNA(VLOOKUP(A61,'Award Adjustment_Data'!A$2:G$68,4,FALSE)),"0",VLOOKUP(A61,'Award Adjustment_Data'!A$2:G$68,4,FALSE))</f>
        <v>5039</v>
      </c>
      <c r="G61" s="269">
        <f t="shared" si="5"/>
        <v>0.7660383095165704</v>
      </c>
      <c r="H61" s="1">
        <f>IF(ISNA(VLOOKUP(A61,Program_Review_Data!A51:E115,2,FALSE)),"0",VLOOKUP(A61,Program_Review_Data!A51:E115,2,FALSE))</f>
        <v>1782</v>
      </c>
      <c r="I61" s="1">
        <f>IF(ISNA(VLOOKUP($A61,Program_Review_Data!A51:F115,3,FALSE)),"0",VLOOKUP($A61,Program_Review_Data!A51:F115,3,FALSE))</f>
        <v>1401</v>
      </c>
      <c r="J61" s="269">
        <f t="shared" si="6"/>
        <v>0.7861952861952862</v>
      </c>
      <c r="K61" s="268">
        <f>IF(ISNA(VLOOKUP($A61,Other_Data!A51:E115,2,FALSE)),"0",VLOOKUP($A61,Other_Data!A51:E115,2,FALSE))</f>
        <v>1175</v>
      </c>
      <c r="L61" s="1">
        <f>IF(ISNA(VLOOKUP($A61,Other_Data!A51:E115,3,FALSE)),"0",VLOOKUP($A61,Other_Data!A51:E115,3,FALSE))</f>
        <v>914</v>
      </c>
      <c r="M61" s="269">
        <f t="shared" si="7"/>
        <v>0.7778723404255319</v>
      </c>
      <c r="N61" s="1">
        <f>IF(ISNA(VLOOKUP($A61,Burial_Data!$A$2:$C$65,2,FALSE)),"0",VLOOKUP($A61,Burial_Data!$A$2:$C$65,2,FALSE))</f>
        <v>3</v>
      </c>
      <c r="O61" s="352">
        <f>IF(ISNA(VLOOKUP($A61,Accrued_Data!$A$2:$D$65,3,FALSE)),"0",VLOOKUP($A61,Accrued_Data!$A$2:$D$65,3,FALSE))</f>
        <v>3</v>
      </c>
      <c r="P61" s="310">
        <f>'[1]ResultingReport'!$J72</f>
        <v>5937</v>
      </c>
      <c r="Q61" s="295"/>
    </row>
    <row r="62" spans="1:17" ht="12.75">
      <c r="A62" t="s">
        <v>454</v>
      </c>
      <c r="B62" s="301">
        <f>IF(ISNA(VLOOKUP(A62,Entitlement_Data!A$3:C$64,2,FALSE)),"0",VLOOKUP(A62,Entitlement_Data!A$3:C$64,2,FALSE))</f>
        <v>2211</v>
      </c>
      <c r="C62" s="301">
        <f>IF(ISNA(VLOOKUP(A62,Entitlement_Data!A$3:D$64,3,FALSE)),"0",VLOOKUP(A62,Entitlement_Data!A$3:D$64,3,FALSE))</f>
        <v>1232</v>
      </c>
      <c r="D62" s="269">
        <f t="shared" si="4"/>
        <v>0.5572139303482587</v>
      </c>
      <c r="E62" s="352">
        <f>IF(ISNA(VLOOKUP(A62,'Award Adjustment_Data'!A$2:F$68,3,FALSE)),"0",VLOOKUP(A62,'Award Adjustment_Data'!A$2:F$68,3,FALSE))</f>
        <v>1321</v>
      </c>
      <c r="F62" s="352">
        <f>IF(ISNA(VLOOKUP(A62,'Award Adjustment_Data'!A$2:G$68,4,FALSE)),"0",VLOOKUP(A62,'Award Adjustment_Data'!A$2:G$68,4,FALSE))</f>
        <v>429</v>
      </c>
      <c r="G62" s="269">
        <f t="shared" si="5"/>
        <v>0.32475397426192276</v>
      </c>
      <c r="H62" s="1">
        <f>IF(ISNA(VLOOKUP(A62,Program_Review_Data!A52:E116,2,FALSE)),"0",VLOOKUP(A62,Program_Review_Data!A52:E116,2,FALSE))</f>
        <v>227</v>
      </c>
      <c r="I62" s="1">
        <f>IF(ISNA(VLOOKUP($A62,Program_Review_Data!A52:F116,3,FALSE)),"0",VLOOKUP($A62,Program_Review_Data!A52:F116,3,FALSE))</f>
        <v>129</v>
      </c>
      <c r="J62" s="269">
        <f t="shared" si="6"/>
        <v>0.5682819383259912</v>
      </c>
      <c r="K62" s="268">
        <f>IF(ISNA(VLOOKUP($A62,Other_Data!A52:E116,2,FALSE)),"0",VLOOKUP($A62,Other_Data!A52:E116,2,FALSE))</f>
        <v>755</v>
      </c>
      <c r="L62" s="1">
        <f>IF(ISNA(VLOOKUP($A62,Other_Data!A52:E116,3,FALSE)),"0",VLOOKUP($A62,Other_Data!A52:E116,3,FALSE))</f>
        <v>557</v>
      </c>
      <c r="M62" s="269">
        <f t="shared" si="7"/>
        <v>0.7377483443708609</v>
      </c>
      <c r="N62" s="1">
        <f>IF(ISNA(VLOOKUP($A62,Burial_Data!$A$2:$C$65,2,FALSE)),"0",VLOOKUP($A62,Burial_Data!$A$2:$C$65,2,FALSE))</f>
        <v>329</v>
      </c>
      <c r="O62" s="352">
        <f>IF(ISNA(VLOOKUP($A62,Accrued_Data!$A$2:$D$65,3,FALSE)),"0",VLOOKUP($A62,Accrued_Data!$A$2:$D$65,3,FALSE))</f>
        <v>105</v>
      </c>
      <c r="P62" s="310">
        <f>'[1]ResultingReport'!$J73</f>
        <v>1797</v>
      </c>
      <c r="Q62" s="295"/>
    </row>
    <row r="63" spans="1:17" ht="12.75">
      <c r="A63" t="s">
        <v>461</v>
      </c>
      <c r="B63" s="301">
        <f>IF(ISNA(VLOOKUP(A63,Entitlement_Data!A$3:C$64,2,FALSE)),"0",VLOOKUP(A63,Entitlement_Data!A$3:C$64,2,FALSE))</f>
        <v>30259</v>
      </c>
      <c r="C63" s="301">
        <f>IF(ISNA(VLOOKUP(A63,Entitlement_Data!A$3:D$64,3,FALSE)),"0",VLOOKUP(A63,Entitlement_Data!A$3:D$64,3,FALSE))</f>
        <v>25264</v>
      </c>
      <c r="D63" s="269">
        <f t="shared" si="4"/>
        <v>0.834925146237483</v>
      </c>
      <c r="E63" s="352">
        <f>IF(ISNA(VLOOKUP(A63,'Award Adjustment_Data'!A$2:F$68,3,FALSE)),"0",VLOOKUP(A63,'Award Adjustment_Data'!A$2:F$68,3,FALSE))</f>
        <v>11260</v>
      </c>
      <c r="F63" s="352">
        <f>IF(ISNA(VLOOKUP(A63,'Award Adjustment_Data'!A$2:G$68,4,FALSE)),"0",VLOOKUP(A63,'Award Adjustment_Data'!A$2:G$68,4,FALSE))</f>
        <v>7639</v>
      </c>
      <c r="G63" s="269">
        <f t="shared" si="5"/>
        <v>0.6784191829484902</v>
      </c>
      <c r="H63" s="1">
        <f>IF(ISNA(VLOOKUP(A63,Program_Review_Data!A53:E117,2,FALSE)),"0",VLOOKUP(A63,Program_Review_Data!A53:E117,2,FALSE))</f>
        <v>1509</v>
      </c>
      <c r="I63" s="1">
        <f>IF(ISNA(VLOOKUP($A63,Program_Review_Data!A53:F117,3,FALSE)),"0",VLOOKUP($A63,Program_Review_Data!A53:F117,3,FALSE))</f>
        <v>783</v>
      </c>
      <c r="J63" s="269">
        <f t="shared" si="6"/>
        <v>0.5188866799204771</v>
      </c>
      <c r="K63" s="268">
        <f>IF(ISNA(VLOOKUP($A63,Other_Data!A53:E117,2,FALSE)),"0",VLOOKUP($A63,Other_Data!A53:E117,2,FALSE))</f>
        <v>5315</v>
      </c>
      <c r="L63" s="1">
        <f>IF(ISNA(VLOOKUP($A63,Other_Data!A53:E117,3,FALSE)),"0",VLOOKUP($A63,Other_Data!A53:E117,3,FALSE))</f>
        <v>3922</v>
      </c>
      <c r="M63" s="269">
        <f t="shared" si="7"/>
        <v>0.7379115710253998</v>
      </c>
      <c r="N63" s="1">
        <f>IF(ISNA(VLOOKUP($A63,Burial_Data!$A$2:$C$65,2,FALSE)),"0",VLOOKUP($A63,Burial_Data!$A$2:$C$65,2,FALSE))</f>
        <v>7</v>
      </c>
      <c r="O63" s="352">
        <f>IF(ISNA(VLOOKUP($A63,Accrued_Data!$A$2:$D$65,3,FALSE)),"0",VLOOKUP($A63,Accrued_Data!$A$2:$D$65,3,FALSE))</f>
        <v>4</v>
      </c>
      <c r="P63" s="310">
        <f>'[1]ResultingReport'!$J74</f>
        <v>7405</v>
      </c>
      <c r="Q63" s="295"/>
    </row>
    <row r="64" spans="1:17" ht="12.75">
      <c r="A64" t="s">
        <v>463</v>
      </c>
      <c r="B64" s="301">
        <f>IF(ISNA(VLOOKUP(A64,Entitlement_Data!A$3:C$64,2,FALSE)),"0",VLOOKUP(A64,Entitlement_Data!A$3:C$64,2,FALSE))</f>
        <v>23007</v>
      </c>
      <c r="C64" s="301">
        <f>IF(ISNA(VLOOKUP(A64,Entitlement_Data!A$3:D$64,3,FALSE)),"0",VLOOKUP(A64,Entitlement_Data!A$3:D$64,3,FALSE))</f>
        <v>17929</v>
      </c>
      <c r="D64" s="269">
        <f t="shared" si="4"/>
        <v>0.7792845655670013</v>
      </c>
      <c r="E64" s="352">
        <f>IF(ISNA(VLOOKUP(A64,'Award Adjustment_Data'!A$2:F$68,3,FALSE)),"0",VLOOKUP(A64,'Award Adjustment_Data'!A$2:F$68,3,FALSE))</f>
        <v>6368</v>
      </c>
      <c r="F64" s="352">
        <f>IF(ISNA(VLOOKUP(A64,'Award Adjustment_Data'!A$2:G$68,4,FALSE)),"0",VLOOKUP(A64,'Award Adjustment_Data'!A$2:G$68,4,FALSE))</f>
        <v>4254</v>
      </c>
      <c r="G64" s="269">
        <f t="shared" si="5"/>
        <v>0.6680276381909548</v>
      </c>
      <c r="H64" s="1">
        <f>IF(ISNA(VLOOKUP(A64,Program_Review_Data!A54:E118,2,FALSE)),"0",VLOOKUP(A64,Program_Review_Data!A54:E118,2,FALSE))</f>
        <v>786</v>
      </c>
      <c r="I64" s="1">
        <f>IF(ISNA(VLOOKUP($A64,Program_Review_Data!A54:F118,3,FALSE)),"0",VLOOKUP($A64,Program_Review_Data!A54:F118,3,FALSE))</f>
        <v>556</v>
      </c>
      <c r="J64" s="269">
        <f t="shared" si="6"/>
        <v>0.7073791348600509</v>
      </c>
      <c r="K64" s="268">
        <f>IF(ISNA(VLOOKUP($A64,Other_Data!A54:E118,2,FALSE)),"0",VLOOKUP($A64,Other_Data!A54:E118,2,FALSE))</f>
        <v>2013</v>
      </c>
      <c r="L64" s="1">
        <f>IF(ISNA(VLOOKUP($A64,Other_Data!A54:E118,3,FALSE)),"0",VLOOKUP($A64,Other_Data!A54:E118,3,FALSE))</f>
        <v>1124</v>
      </c>
      <c r="M64" s="269">
        <f t="shared" si="7"/>
        <v>0.5583705911574764</v>
      </c>
      <c r="N64" s="1">
        <f>IF(ISNA(VLOOKUP($A64,Burial_Data!$A$2:$C$65,2,FALSE)),"0",VLOOKUP($A64,Burial_Data!$A$2:$C$65,2,FALSE))</f>
        <v>1</v>
      </c>
      <c r="O64" s="352">
        <f>IF(ISNA(VLOOKUP($A64,Accrued_Data!$A$2:$D$65,3,FALSE)),"0",VLOOKUP($A64,Accrued_Data!$A$2:$D$65,3,FALSE))</f>
        <v>2</v>
      </c>
      <c r="P64" s="310">
        <f>'[1]ResultingReport'!$J75</f>
        <v>5053</v>
      </c>
      <c r="Q64" s="295"/>
    </row>
    <row r="65" spans="1:17" ht="12.75">
      <c r="A65" t="s">
        <v>465</v>
      </c>
      <c r="B65" s="301">
        <f>IF(ISNA(VLOOKUP(A65,Entitlement_Data!A$3:C$64,2,FALSE)),"0",VLOOKUP(A65,Entitlement_Data!A$3:C$64,2,FALSE))</f>
        <v>12155</v>
      </c>
      <c r="C65" s="301">
        <f>IF(ISNA(VLOOKUP(A65,Entitlement_Data!A$3:D$64,3,FALSE)),"0",VLOOKUP(A65,Entitlement_Data!A$3:D$64,3,FALSE))</f>
        <v>7779</v>
      </c>
      <c r="D65" s="269">
        <f t="shared" si="4"/>
        <v>0.6399835458658988</v>
      </c>
      <c r="E65" s="352">
        <f>IF(ISNA(VLOOKUP(A65,'Award Adjustment_Data'!A$2:F$68,3,FALSE)),"0",VLOOKUP(A65,'Award Adjustment_Data'!A$2:F$68,3,FALSE))</f>
        <v>5994</v>
      </c>
      <c r="F65" s="352">
        <f>IF(ISNA(VLOOKUP(A65,'Award Adjustment_Data'!A$2:G$68,4,FALSE)),"0",VLOOKUP(A65,'Award Adjustment_Data'!A$2:G$68,4,FALSE))</f>
        <v>4021</v>
      </c>
      <c r="G65" s="269">
        <f t="shared" si="5"/>
        <v>0.6708375041708375</v>
      </c>
      <c r="H65" s="1">
        <f>IF(ISNA(VLOOKUP(A65,Program_Review_Data!A55:E119,2,FALSE)),"0",VLOOKUP(A65,Program_Review_Data!A55:E119,2,FALSE))</f>
        <v>1683</v>
      </c>
      <c r="I65" s="1">
        <f>IF(ISNA(VLOOKUP($A65,Program_Review_Data!A55:F119,3,FALSE)),"0",VLOOKUP($A65,Program_Review_Data!A55:F119,3,FALSE))</f>
        <v>1066</v>
      </c>
      <c r="J65" s="269">
        <f t="shared" si="6"/>
        <v>0.6333927510398099</v>
      </c>
      <c r="K65" s="268">
        <f>IF(ISNA(VLOOKUP($A65,Other_Data!A55:E119,2,FALSE)),"0",VLOOKUP($A65,Other_Data!A55:E119,2,FALSE))</f>
        <v>632</v>
      </c>
      <c r="L65" s="1">
        <f>IF(ISNA(VLOOKUP($A65,Other_Data!A55:E119,3,FALSE)),"0",VLOOKUP($A65,Other_Data!A55:E119,3,FALSE))</f>
        <v>421</v>
      </c>
      <c r="M65" s="269">
        <f t="shared" si="7"/>
        <v>0.6661392405063291</v>
      </c>
      <c r="N65" s="1">
        <f>IF(ISNA(VLOOKUP($A65,Burial_Data!$A$2:$C$65,2,FALSE)),"0",VLOOKUP($A65,Burial_Data!$A$2:$C$65,2,FALSE))</f>
        <v>3</v>
      </c>
      <c r="O65" s="352">
        <f>IF(ISNA(VLOOKUP($A65,Accrued_Data!$A$2:$D$65,3,FALSE)),"0",VLOOKUP($A65,Accrued_Data!$A$2:$D$65,3,FALSE))</f>
        <v>24</v>
      </c>
      <c r="P65" s="310">
        <f>'[1]ResultingReport'!$J76</f>
        <v>5338</v>
      </c>
      <c r="Q65" s="295"/>
    </row>
    <row r="66" spans="1:17" ht="12.75">
      <c r="A66" t="s">
        <v>467</v>
      </c>
      <c r="B66" s="301">
        <f>IF(ISNA(VLOOKUP(A66,Entitlement_Data!A$3:C$64,2,FALSE)),"0",VLOOKUP(A66,Entitlement_Data!A$3:C$64,2,FALSE))</f>
        <v>9870</v>
      </c>
      <c r="C66" s="301">
        <f>IF(ISNA(VLOOKUP(A66,Entitlement_Data!A$3:D$64,3,FALSE)),"0",VLOOKUP(A66,Entitlement_Data!A$3:D$64,3,FALSE))</f>
        <v>8025</v>
      </c>
      <c r="D66" s="269">
        <f t="shared" si="4"/>
        <v>0.8130699088145896</v>
      </c>
      <c r="E66" s="352">
        <f>IF(ISNA(VLOOKUP(A66,'Award Adjustment_Data'!A$2:F$68,3,FALSE)),"0",VLOOKUP(A66,'Award Adjustment_Data'!A$2:F$68,3,FALSE))</f>
        <v>2598</v>
      </c>
      <c r="F66" s="352">
        <f>IF(ISNA(VLOOKUP(A66,'Award Adjustment_Data'!A$2:G$68,4,FALSE)),"0",VLOOKUP(A66,'Award Adjustment_Data'!A$2:G$68,4,FALSE))</f>
        <v>1827</v>
      </c>
      <c r="G66" s="269">
        <f t="shared" si="5"/>
        <v>0.7032332563510393</v>
      </c>
      <c r="H66" s="1">
        <f>IF(ISNA(VLOOKUP(A66,Program_Review_Data!A56:E120,2,FALSE)),"0",VLOOKUP(A66,Program_Review_Data!A56:E120,2,FALSE))</f>
        <v>264</v>
      </c>
      <c r="I66" s="1">
        <f>IF(ISNA(VLOOKUP($A66,Program_Review_Data!A56:F120,3,FALSE)),"0",VLOOKUP($A66,Program_Review_Data!A56:F120,3,FALSE))</f>
        <v>102</v>
      </c>
      <c r="J66" s="269">
        <f t="shared" si="6"/>
        <v>0.38636363636363635</v>
      </c>
      <c r="K66" s="268">
        <f>IF(ISNA(VLOOKUP($A66,Other_Data!A56:E120,2,FALSE)),"0",VLOOKUP($A66,Other_Data!A56:E120,2,FALSE))</f>
        <v>693</v>
      </c>
      <c r="L66" s="1">
        <f>IF(ISNA(VLOOKUP($A66,Other_Data!A56:E120,3,FALSE)),"0",VLOOKUP($A66,Other_Data!A56:E120,3,FALSE))</f>
        <v>531</v>
      </c>
      <c r="M66" s="269">
        <f t="shared" si="7"/>
        <v>0.7662337662337663</v>
      </c>
      <c r="N66" s="1">
        <f>IF(ISNA(VLOOKUP($A66,Burial_Data!$A$2:$C$65,2,FALSE)),"0",VLOOKUP($A66,Burial_Data!$A$2:$C$65,2,FALSE))</f>
        <v>1</v>
      </c>
      <c r="O66" s="352">
        <f>IF(ISNA(VLOOKUP($A66,Accrued_Data!$A$2:$D$65,3,FALSE)),"0",VLOOKUP($A66,Accrued_Data!$A$2:$D$65,3,FALSE))</f>
        <v>3</v>
      </c>
      <c r="P66" s="310">
        <f>'[1]ResultingReport'!$J77</f>
        <v>922</v>
      </c>
      <c r="Q66" s="295"/>
    </row>
    <row r="67" spans="1:17" ht="12.75">
      <c r="A67" t="s">
        <v>469</v>
      </c>
      <c r="B67" s="301">
        <f>IF(ISNA(VLOOKUP(A67,Entitlement_Data!A$3:C$64,2,FALSE)),"0",VLOOKUP(A67,Entitlement_Data!A$3:C$64,2,FALSE))</f>
        <v>18909</v>
      </c>
      <c r="C67" s="301">
        <f>IF(ISNA(VLOOKUP(A67,Entitlement_Data!A$3:D$64,3,FALSE)),"0",VLOOKUP(A67,Entitlement_Data!A$3:D$64,3,FALSE))</f>
        <v>14457</v>
      </c>
      <c r="D67" s="269">
        <f t="shared" si="4"/>
        <v>0.7645565603680787</v>
      </c>
      <c r="E67" s="352">
        <f>IF(ISNA(VLOOKUP(A67,'Award Adjustment_Data'!A$2:F$68,3,FALSE)),"0",VLOOKUP(A67,'Award Adjustment_Data'!A$2:F$68,3,FALSE))</f>
        <v>8900</v>
      </c>
      <c r="F67" s="352">
        <f>IF(ISNA(VLOOKUP(A67,'Award Adjustment_Data'!A$2:G$68,4,FALSE)),"0",VLOOKUP(A67,'Award Adjustment_Data'!A$2:G$68,4,FALSE))</f>
        <v>7386</v>
      </c>
      <c r="G67" s="269">
        <f t="shared" si="5"/>
        <v>0.8298876404494382</v>
      </c>
      <c r="H67" s="1">
        <f>IF(ISNA(VLOOKUP(A67,Program_Review_Data!A57:E121,2,FALSE)),"0",VLOOKUP(A67,Program_Review_Data!A57:E121,2,FALSE))</f>
        <v>719</v>
      </c>
      <c r="I67" s="1">
        <f>IF(ISNA(VLOOKUP($A67,Program_Review_Data!A57:F121,3,FALSE)),"0",VLOOKUP($A67,Program_Review_Data!A57:F121,3,FALSE))</f>
        <v>550</v>
      </c>
      <c r="J67" s="269">
        <f t="shared" si="6"/>
        <v>0.7649513212795549</v>
      </c>
      <c r="K67" s="268">
        <f>IF(ISNA(VLOOKUP($A67,Other_Data!A57:E121,2,FALSE)),"0",VLOOKUP($A67,Other_Data!A57:E121,2,FALSE))</f>
        <v>2419</v>
      </c>
      <c r="L67" s="1">
        <f>IF(ISNA(VLOOKUP($A67,Other_Data!A57:E121,3,FALSE)),"0",VLOOKUP($A67,Other_Data!A57:E121,3,FALSE))</f>
        <v>2032</v>
      </c>
      <c r="M67" s="269">
        <f t="shared" si="7"/>
        <v>0.8400165357585779</v>
      </c>
      <c r="N67" s="1">
        <f>IF(ISNA(VLOOKUP($A67,Burial_Data!$A$2:$C$65,2,FALSE)),"0",VLOOKUP($A67,Burial_Data!$A$2:$C$65,2,FALSE))</f>
        <v>0</v>
      </c>
      <c r="O67" s="352">
        <f>IF(ISNA(VLOOKUP($A67,Accrued_Data!$A$2:$D$65,3,FALSE)),"0",VLOOKUP($A67,Accrued_Data!$A$2:$D$65,3,FALSE))</f>
        <v>2</v>
      </c>
      <c r="P67" s="310">
        <f>'[1]ResultingReport'!$J78</f>
        <v>1556</v>
      </c>
      <c r="Q67" s="295"/>
    </row>
    <row r="68" spans="1:17" ht="12.75">
      <c r="A68" t="s">
        <v>470</v>
      </c>
      <c r="B68" s="301">
        <f>IF(ISNA(VLOOKUP(A68,Entitlement_Data!A$3:C$64,2,FALSE)),"0",VLOOKUP(A68,Entitlement_Data!A$3:C$64,2,FALSE))</f>
        <v>29743</v>
      </c>
      <c r="C68" s="301">
        <f>IF(ISNA(VLOOKUP(A68,Entitlement_Data!A$3:D$64,3,FALSE)),"0",VLOOKUP(A68,Entitlement_Data!A$3:D$64,3,FALSE))</f>
        <v>19913</v>
      </c>
      <c r="D68" s="269">
        <f t="shared" si="4"/>
        <v>0.6695020677134116</v>
      </c>
      <c r="E68" s="352">
        <f>IF(ISNA(VLOOKUP(A68,'Award Adjustment_Data'!A$2:F$68,3,FALSE)),"0",VLOOKUP(A68,'Award Adjustment_Data'!A$2:F$68,3,FALSE))</f>
        <v>7054</v>
      </c>
      <c r="F68" s="352">
        <f>IF(ISNA(VLOOKUP(A68,'Award Adjustment_Data'!A$2:G$68,4,FALSE)),"0",VLOOKUP(A68,'Award Adjustment_Data'!A$2:G$68,4,FALSE))</f>
        <v>4611</v>
      </c>
      <c r="G68" s="269">
        <f t="shared" si="5"/>
        <v>0.6536716756450242</v>
      </c>
      <c r="H68" s="1">
        <f>IF(ISNA(VLOOKUP(A68,Program_Review_Data!A58:E122,2,FALSE)),"0",VLOOKUP(A68,Program_Review_Data!A58:E122,2,FALSE))</f>
        <v>1975</v>
      </c>
      <c r="I68" s="1">
        <f>IF(ISNA(VLOOKUP($A68,Program_Review_Data!A58:F122,3,FALSE)),"0",VLOOKUP($A68,Program_Review_Data!A58:F122,3,FALSE))</f>
        <v>1551</v>
      </c>
      <c r="J68" s="269">
        <f t="shared" si="6"/>
        <v>0.7853164556962026</v>
      </c>
      <c r="K68" s="268">
        <f>IF(ISNA(VLOOKUP($A68,Other_Data!A58:E122,2,FALSE)),"0",VLOOKUP($A68,Other_Data!A58:E122,2,FALSE))</f>
        <v>3046</v>
      </c>
      <c r="L68" s="1">
        <f>IF(ISNA(VLOOKUP($A68,Other_Data!A58:E122,3,FALSE)),"0",VLOOKUP($A68,Other_Data!A58:E122,3,FALSE))</f>
        <v>1817</v>
      </c>
      <c r="M68" s="269">
        <f t="shared" si="7"/>
        <v>0.5965200262639527</v>
      </c>
      <c r="N68" s="1">
        <f>IF(ISNA(VLOOKUP($A68,Burial_Data!$A$2:$C$65,2,FALSE)),"0",VLOOKUP($A68,Burial_Data!$A$2:$C$65,2,FALSE))</f>
        <v>0</v>
      </c>
      <c r="O68" s="352">
        <f>IF(ISNA(VLOOKUP($A68,Accrued_Data!$A$2:$D$65,3,FALSE)),"0",VLOOKUP($A68,Accrued_Data!$A$2:$D$65,3,FALSE))</f>
        <v>2</v>
      </c>
      <c r="P68" s="310">
        <f>'[1]ResultingReport'!$J79</f>
        <v>4016</v>
      </c>
      <c r="Q68" s="295"/>
    </row>
    <row r="69" spans="1:17" ht="12.75">
      <c r="A69" s="326" t="s">
        <v>472</v>
      </c>
      <c r="B69" s="301">
        <f>IF(ISNA(VLOOKUP(A69,Entitlement_Data!A$3:C$64,2,FALSE)),"0",VLOOKUP(A69,Entitlement_Data!A$3:C$64,2,FALSE))</f>
        <v>25628</v>
      </c>
      <c r="C69" s="301">
        <f>IF(ISNA(VLOOKUP(A69,Entitlement_Data!A$3:D$64,3,FALSE)),"0",VLOOKUP(A69,Entitlement_Data!A$3:D$64,3,FALSE))</f>
        <v>19716</v>
      </c>
      <c r="D69" s="271">
        <f t="shared" si="4"/>
        <v>0.7693148119244576</v>
      </c>
      <c r="E69" s="353">
        <f>IF(ISNA(VLOOKUP(A69,'Award Adjustment_Data'!A$2:F$68,3,FALSE)),"0",VLOOKUP(A69,'Award Adjustment_Data'!A$2:F$68,3,FALSE))</f>
        <v>13757</v>
      </c>
      <c r="F69" s="353">
        <f>IF(ISNA(VLOOKUP(A69,'Award Adjustment_Data'!A$2:G$68,4,FALSE)),"0",VLOOKUP(A69,'Award Adjustment_Data'!A$2:G$68,4,FALSE))</f>
        <v>10381</v>
      </c>
      <c r="G69" s="271">
        <f t="shared" si="5"/>
        <v>0.75459765937341</v>
      </c>
      <c r="H69" s="1">
        <f>IF(ISNA(VLOOKUP(A69,Program_Review_Data!A59:E123,2,FALSE)),"0",VLOOKUP(A69,Program_Review_Data!A59:E123,2,FALSE))</f>
        <v>3477</v>
      </c>
      <c r="I69" s="1">
        <f>IF(ISNA(VLOOKUP($A69,Program_Review_Data!A59:F123,3,FALSE)),"0",VLOOKUP($A69,Program_Review_Data!A59:F123,3,FALSE))</f>
        <v>2400</v>
      </c>
      <c r="J69" s="271">
        <f t="shared" si="6"/>
        <v>0.6902502157031924</v>
      </c>
      <c r="K69" s="268">
        <f>IF(ISNA(VLOOKUP($A69,Other_Data!A59:E123,2,FALSE)),"0",VLOOKUP($A69,Other_Data!A59:E123,2,FALSE))</f>
        <v>2492</v>
      </c>
      <c r="L69" s="1">
        <f>IF(ISNA(VLOOKUP($A69,Other_Data!A59:E123,3,FALSE)),"0",VLOOKUP($A69,Other_Data!A59:E123,3,FALSE))</f>
        <v>1640</v>
      </c>
      <c r="M69" s="271">
        <f t="shared" si="7"/>
        <v>0.6581059390048154</v>
      </c>
      <c r="N69" s="33">
        <f>IF(ISNA(VLOOKUP($A69,Burial_Data!$A$2:$C$65,2,FALSE)),"0",VLOOKUP($A69,Burial_Data!$A$2:$C$65,2,FALSE))</f>
        <v>51</v>
      </c>
      <c r="O69" s="353">
        <f>IF(ISNA(VLOOKUP($A69,Accrued_Data!$A$2:$D$65,3,FALSE)),"0",VLOOKUP($A69,Accrued_Data!$A$2:$D$65,3,FALSE))</f>
        <v>32</v>
      </c>
      <c r="P69" s="310">
        <f>'[1]ResultingReport'!$J80</f>
        <v>5229</v>
      </c>
      <c r="Q69" s="295"/>
    </row>
    <row r="70" spans="1:17" ht="13.5">
      <c r="A70" s="324" t="s">
        <v>265</v>
      </c>
      <c r="B70" s="328">
        <f>Ent_Formulas!B2</f>
        <v>0</v>
      </c>
      <c r="C70" s="328">
        <f>Ent_Formulas!G2</f>
        <v>0</v>
      </c>
      <c r="D70" s="334" t="str">
        <f>IF(B70=0,"-",C70/B70)</f>
        <v>-</v>
      </c>
      <c r="E70" s="33">
        <f>Award_Formulas!B2</f>
        <v>52</v>
      </c>
      <c r="F70" s="33">
        <f>Award_Formulas!G2</f>
        <v>6</v>
      </c>
      <c r="G70" s="32">
        <f t="shared" si="1"/>
        <v>0.11538461538461539</v>
      </c>
      <c r="H70" s="328">
        <f>Program_Review_Formulas!B2</f>
        <v>0</v>
      </c>
      <c r="I70" s="328">
        <f>Program_Review_Formulas!C2</f>
        <v>0</v>
      </c>
      <c r="J70" s="300" t="str">
        <f>IF(I70=0,"-",I70/H70)</f>
        <v>-</v>
      </c>
      <c r="K70" s="328">
        <f>Other_Data_Formulas!B2</f>
        <v>112</v>
      </c>
      <c r="L70" s="328">
        <f>Other_Data_Formulas!C2</f>
        <v>88</v>
      </c>
      <c r="M70" s="32">
        <f t="shared" si="3"/>
        <v>0.7857142857142857</v>
      </c>
      <c r="N70" s="33">
        <f>Burial_Formulas!B2</f>
        <v>0</v>
      </c>
      <c r="O70" s="33">
        <f>Accrued_Formulas!B2</f>
        <v>4</v>
      </c>
      <c r="P70" s="311">
        <f>'[1]ResultingReport'!$M$7</f>
        <v>12204</v>
      </c>
      <c r="Q70" s="295"/>
    </row>
    <row r="71" spans="1:17" ht="12.75">
      <c r="A71" s="321"/>
      <c r="Q71" s="384"/>
    </row>
    <row r="72" spans="2:17" s="16" customFormat="1" ht="24.75" customHeight="1">
      <c r="B72" s="459" t="s">
        <v>236</v>
      </c>
      <c r="C72" s="459"/>
      <c r="D72" s="459"/>
      <c r="E72" s="459"/>
      <c r="F72" s="459"/>
      <c r="G72" s="459"/>
      <c r="H72" s="459"/>
      <c r="I72" s="459"/>
      <c r="J72" s="459"/>
      <c r="K72" s="459"/>
      <c r="L72" s="459"/>
      <c r="M72" s="459"/>
      <c r="N72" s="459"/>
      <c r="O72" s="459"/>
      <c r="P72" s="459"/>
      <c r="Q72" s="384"/>
    </row>
    <row r="73" spans="1:17" s="17" customFormat="1" ht="15">
      <c r="A73" s="4"/>
      <c r="B73" s="449" t="s">
        <v>172</v>
      </c>
      <c r="C73" s="450"/>
      <c r="D73" s="451"/>
      <c r="E73" s="449" t="s">
        <v>173</v>
      </c>
      <c r="F73" s="450"/>
      <c r="G73" s="451"/>
      <c r="H73" s="449" t="s">
        <v>174</v>
      </c>
      <c r="I73" s="450"/>
      <c r="J73" s="451"/>
      <c r="K73" s="449" t="s">
        <v>175</v>
      </c>
      <c r="L73" s="450"/>
      <c r="M73" s="451"/>
      <c r="N73" s="13" t="s">
        <v>176</v>
      </c>
      <c r="O73" s="11" t="s">
        <v>177</v>
      </c>
      <c r="P73" s="13" t="s">
        <v>178</v>
      </c>
      <c r="Q73" s="385"/>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c r="Q74" s="386"/>
    </row>
    <row r="75" spans="2:17"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c r="Q75" s="387"/>
    </row>
    <row r="76" spans="1:17" ht="15">
      <c r="A76" s="14" t="s">
        <v>258</v>
      </c>
      <c r="B76" s="27">
        <f>SUM(Entitlement_Data!F3:F66)</f>
        <v>77537</v>
      </c>
      <c r="C76" s="27">
        <f>SUM(Entitlement_Data!G3:G66)</f>
        <v>41713</v>
      </c>
      <c r="D76" s="29">
        <f>C76/B76</f>
        <v>0.537975418187446</v>
      </c>
      <c r="E76" s="222">
        <f>SUM('Award Adjustment_Data'!E3:E66)-Transformation!E35</f>
        <v>95448</v>
      </c>
      <c r="F76" s="222">
        <f>SUM('Award Adjustment_Data'!F3:F66)-Transformation!F35</f>
        <v>57803</v>
      </c>
      <c r="G76" s="29">
        <f>F76/E76</f>
        <v>0.6055967647305339</v>
      </c>
      <c r="H76" s="27">
        <f>SUM(Program_Review_Data!D3:D65)</f>
        <v>72201</v>
      </c>
      <c r="I76" s="27">
        <f>SUM(Program_Review_Data!E3:E65)</f>
        <v>26893</v>
      </c>
      <c r="J76" s="29">
        <f>I76/H76</f>
        <v>0.37247406545615713</v>
      </c>
      <c r="K76" s="27">
        <f>SUM(Other_Data!D3:D66)</f>
        <v>13529</v>
      </c>
      <c r="L76" s="27">
        <f>SUM(Other_Data!E3:E66)</f>
        <v>7677</v>
      </c>
      <c r="M76" s="29">
        <f>L76/K76</f>
        <v>0.5674477049301501</v>
      </c>
      <c r="N76" s="359">
        <f>Transformation!E97-N11</f>
        <v>19854</v>
      </c>
      <c r="O76" s="31">
        <f>SUM(O77:O79)</f>
        <v>11929</v>
      </c>
      <c r="P76" s="222">
        <f>SUM(P77:P79)</f>
        <v>2231</v>
      </c>
      <c r="Q76" s="295"/>
    </row>
    <row r="77" spans="1:17" ht="12.75">
      <c r="A77" t="s">
        <v>462</v>
      </c>
      <c r="B77" s="28">
        <f>IF(ISNA(VLOOKUP(A77,Entitlement_Data!A$3:G$64,6,FALSE)),"0",VLOOKUP(A77,Entitlement_Data!A$3:G$64,6,FALSE))</f>
        <v>36661</v>
      </c>
      <c r="C77" s="28">
        <f>IF(ISNA(VLOOKUP(A77,Entitlement_Data!A$3:G$64,7,FALSE)),"0",VLOOKUP(A77,Entitlement_Data!A$3:G$64,7,FALSE))</f>
        <v>23210</v>
      </c>
      <c r="D77" s="29">
        <f>C77/B77</f>
        <v>0.6330978423938245</v>
      </c>
      <c r="E77" s="352">
        <f>IF(ISNA(VLOOKUP(A77,'Award Adjustment_Data'!A$2:F$68,5,FALSE)),"0",VLOOKUP(A77,'Award Adjustment_Data'!A$2:F$68,5,FALSE))</f>
        <v>46032</v>
      </c>
      <c r="F77" s="352">
        <f>IF(ISNA(VLOOKUP(A77,'Award Adjustment_Data'!A$2:G$68,6,FALSE)),"0",VLOOKUP(A77,'Award Adjustment_Data'!A$2:G$68,6,FALSE))</f>
        <v>33743</v>
      </c>
      <c r="G77" s="29">
        <f>F77/E77</f>
        <v>0.7330335418839069</v>
      </c>
      <c r="H77" s="27">
        <f>IF(ISNA(VLOOKUP(A77,Program_Review_Data!$A$2:$E$68,4,FALSE)),"0",VLOOKUP(A77,Program_Review_Data!$A$2:$E$68,4,FALSE))</f>
        <v>28210</v>
      </c>
      <c r="I77" s="27">
        <f>IF(ISNA(VLOOKUP(A77,Program_Review_Data!$A$2:$E$68,5,FALSE)),"0",VLOOKUP(A77,Program_Review_Data!$A$2:$E$68,5,FALSE))</f>
        <v>11648</v>
      </c>
      <c r="J77" s="29">
        <f>I77/H77</f>
        <v>0.4129032258064516</v>
      </c>
      <c r="K77" s="27">
        <f>IF(ISNA(VLOOKUP($A77,Other_Data!$A$2:$E$66,4,FALSE)),"0",VLOOKUP($A77,Other_Data!$A$2:$E$66,4,FALSE))</f>
        <v>7305</v>
      </c>
      <c r="L77" s="27">
        <f>IF(ISNA(VLOOKUP($A77,Other_Data!$A$2:$E$66,5,FALSE)),"0",VLOOKUP($A77,Other_Data!$A$2:$E$66,5,FALSE))</f>
        <v>3524</v>
      </c>
      <c r="M77" s="29">
        <f>L77/K77</f>
        <v>0.48240930869267623</v>
      </c>
      <c r="N77" s="33">
        <f>IF(ISNA(VLOOKUP($A77,Burial_Data!$A$2:$C$65,3,FALSE)),"0",VLOOKUP($A77,Burial_Data!$A$2:$C$65,3,FALSE))</f>
        <v>9024</v>
      </c>
      <c r="O77" s="352">
        <f>IF(ISNA(VLOOKUP($A77,Accrued_Data!$A$2:$D$65,3,FALSE)),"0",VLOOKUP($A77,Accrued_Data!$A$2:$D$65,3,FALSE))</f>
        <v>5329</v>
      </c>
      <c r="P77" s="222">
        <f>'[1]ResultingReport'!$J$20</f>
        <v>772</v>
      </c>
      <c r="Q77" s="295"/>
    </row>
    <row r="78" spans="1:17" ht="12.75">
      <c r="A78" t="s">
        <v>455</v>
      </c>
      <c r="B78" s="28">
        <f>IF(ISNA(VLOOKUP(A78,Entitlement_Data!A$3:G$64,6,FALSE)),"0",VLOOKUP(A78,Entitlement_Data!A$3:G$64,6,FALSE))</f>
        <v>16041</v>
      </c>
      <c r="C78" s="28">
        <f>IF(ISNA(VLOOKUP(A78,Entitlement_Data!A$3:G$64,7,FALSE)),"0",VLOOKUP(A78,Entitlement_Data!A$3:G$64,7,FALSE))</f>
        <v>4908</v>
      </c>
      <c r="D78" s="29">
        <f>C78/B78</f>
        <v>0.3059659622218066</v>
      </c>
      <c r="E78" s="352">
        <f>IF(ISNA(VLOOKUP(A78,'Award Adjustment_Data'!A$2:F$68,5,FALSE)),"0",VLOOKUP(A78,'Award Adjustment_Data'!A$2:F$68,5,FALSE))</f>
        <v>16481</v>
      </c>
      <c r="F78" s="352">
        <f>IF(ISNA(VLOOKUP(A78,'Award Adjustment_Data'!A$2:G$68,6,FALSE)),"0",VLOOKUP(A78,'Award Adjustment_Data'!A$2:G$68,6,FALSE))</f>
        <v>2827</v>
      </c>
      <c r="G78" s="29">
        <f>F78/E78</f>
        <v>0.1715308537103331</v>
      </c>
      <c r="H78" s="27">
        <f>IF(ISNA(VLOOKUP(A78,Program_Review_Data!$A$2:$E$68,4,FALSE)),"0",VLOOKUP(A78,Program_Review_Data!$A$2:$E$68,4,FALSE))</f>
        <v>19708</v>
      </c>
      <c r="I78" s="27">
        <f>IF(ISNA(VLOOKUP(A78,Program_Review_Data!$A$2:$E$68,5,FALSE)),"0",VLOOKUP(A78,Program_Review_Data!$A$2:$E$68,5,FALSE))</f>
        <v>5131</v>
      </c>
      <c r="J78" s="29">
        <f>I78/H78</f>
        <v>0.26035112644611325</v>
      </c>
      <c r="K78" s="27">
        <f>IF(ISNA(VLOOKUP(A78,Other_Data!$A$2:$E$66,4,FALSE)),"0",VLOOKUP(A78,Other_Data!$A$2:$E$66,4,FALSE))</f>
        <v>557</v>
      </c>
      <c r="L78" s="27">
        <f>IF(ISNA(VLOOKUP($A78,Other_Data!$A$2:$E$66,5,FALSE)),"0",VLOOKUP($A78,Other_Data!$A$2:$E$66,5,FALSE))</f>
        <v>298</v>
      </c>
      <c r="M78" s="29">
        <f>L78/K78</f>
        <v>0.5350089766606823</v>
      </c>
      <c r="N78" s="33">
        <f>IF(ISNA(VLOOKUP($A78,Burial_Data!$A$2:$C$65,3,FALSE)),"0",VLOOKUP($A78,Burial_Data!$A$2:$C$65,3,FALSE))</f>
        <v>2347</v>
      </c>
      <c r="O78" s="352">
        <f>IF(ISNA(VLOOKUP($A78,Accrued_Data!$A$2:$D$65,3,FALSE)),"0",VLOOKUP($A78,Accrued_Data!$A$2:$D$65,3,FALSE))</f>
        <v>1555</v>
      </c>
      <c r="P78" s="222">
        <f>'[1]ResultingReport'!$J$54</f>
        <v>692</v>
      </c>
      <c r="Q78" s="295"/>
    </row>
    <row r="79" spans="1:17" ht="12.75">
      <c r="A79" t="s">
        <v>475</v>
      </c>
      <c r="B79" s="28">
        <f>IF(ISNA(VLOOKUP(A79,Entitlement_Data!A$3:G$64,6,FALSE)),"0",VLOOKUP(A79,Entitlement_Data!A$3:G$64,6,FALSE))</f>
        <v>24438</v>
      </c>
      <c r="C79" s="28">
        <f>IF(ISNA(VLOOKUP(A79,Entitlement_Data!A$3:G$64,7,FALSE)),"0",VLOOKUP(A79,Entitlement_Data!A$3:G$64,7,FALSE))</f>
        <v>13407</v>
      </c>
      <c r="D79" s="29">
        <f>C79/B79</f>
        <v>0.5486128161060643</v>
      </c>
      <c r="E79" s="352">
        <f>IF(ISNA(VLOOKUP(A79,'Award Adjustment_Data'!A$2:F$68,5,FALSE)),"0",VLOOKUP(A79,'Award Adjustment_Data'!A$2:F$68,5,FALSE))</f>
        <v>32160</v>
      </c>
      <c r="F79" s="352">
        <f>IF(ISNA(VLOOKUP(A79,'Award Adjustment_Data'!A$2:G$68,6,FALSE)),"0",VLOOKUP(A79,'Award Adjustment_Data'!A$2:G$68,6,FALSE))</f>
        <v>20674</v>
      </c>
      <c r="G79" s="29">
        <f>F79/E79</f>
        <v>0.6428482587064677</v>
      </c>
      <c r="H79" s="27">
        <f>IF(ISNA(VLOOKUP(A79,Program_Review_Data!$A$2:$E$68,4,FALSE)),"0",VLOOKUP(A79,Program_Review_Data!$A$2:$E$68,4,FALSE))</f>
        <v>24056</v>
      </c>
      <c r="I79" s="27">
        <f>IF(ISNA(VLOOKUP(A79,Program_Review_Data!$A$2:$E$68,5,FALSE)),"0",VLOOKUP(A79,Program_Review_Data!$A$2:$E$68,5,FALSE))</f>
        <v>9942</v>
      </c>
      <c r="J79" s="29">
        <f>I79/H79</f>
        <v>0.4132856667775191</v>
      </c>
      <c r="K79" s="27">
        <f>IF(ISNA(VLOOKUP(A79,Other_Data!$A$2:$E$66,4,FALSE)),"0",VLOOKUP(A79,Other_Data!$A$2:$E$66,4,FALSE))</f>
        <v>5268</v>
      </c>
      <c r="L79" s="27">
        <f>IF(ISNA(VLOOKUP($A79,Other_Data!$A$2:$E$66,5,FALSE)),"0",VLOOKUP($A79,Other_Data!$A$2:$E$66,5,FALSE))</f>
        <v>3548</v>
      </c>
      <c r="M79" s="29">
        <f>L79/K79</f>
        <v>0.6735003796507213</v>
      </c>
      <c r="N79" s="33">
        <f>IF(ISNA(VLOOKUP($A79,Burial_Data!$A$2:$C$65,3,FALSE)),"0",VLOOKUP($A79,Burial_Data!$A$2:$C$65,3,FALSE))</f>
        <v>8400</v>
      </c>
      <c r="O79" s="352">
        <f>IF(ISNA(VLOOKUP($A79,Accrued_Data!$A$2:$D$65,3,FALSE)),"0",VLOOKUP($A79,Accrued_Data!$A$2:$D$65,3,FALSE))</f>
        <v>5045</v>
      </c>
      <c r="P79" s="222">
        <f>'[1]ResultingReport'!$J$61</f>
        <v>767</v>
      </c>
      <c r="Q79" s="295"/>
    </row>
    <row r="80" spans="1:17" ht="13.5">
      <c r="A80" s="26" t="s">
        <v>494</v>
      </c>
      <c r="B80" s="28">
        <f>B76-B77-B78-B79</f>
        <v>397</v>
      </c>
      <c r="C80" s="28">
        <f>C76-C77-C78-C79</f>
        <v>188</v>
      </c>
      <c r="D80" s="29">
        <f>C80/B80</f>
        <v>0.473551637279597</v>
      </c>
      <c r="E80" s="28">
        <f>E76-E77-E78-E79</f>
        <v>775</v>
      </c>
      <c r="F80" s="28">
        <f>F76-F77-F78-F79</f>
        <v>559</v>
      </c>
      <c r="G80" s="29">
        <f>F80/E80</f>
        <v>0.7212903225806452</v>
      </c>
      <c r="H80" s="28">
        <f>H76-H77-H78-H79</f>
        <v>227</v>
      </c>
      <c r="I80" s="28">
        <f>I76-I77-I78-I79</f>
        <v>172</v>
      </c>
      <c r="J80" s="29">
        <f>I80/H80</f>
        <v>0.7577092511013216</v>
      </c>
      <c r="K80" s="28">
        <f>K76-K77-K78-K79</f>
        <v>399</v>
      </c>
      <c r="L80" s="28">
        <f>L76-L77-L78-L79</f>
        <v>307</v>
      </c>
      <c r="M80" s="29">
        <f>L80/K80</f>
        <v>0.7694235588972431</v>
      </c>
      <c r="N80" s="48">
        <f>N76-SUM(N77:N79)</f>
        <v>83</v>
      </c>
      <c r="O80" s="172" t="s">
        <v>329</v>
      </c>
      <c r="P80" s="172" t="s">
        <v>329</v>
      </c>
      <c r="Q80" s="389"/>
    </row>
    <row r="81" spans="5:14" ht="12.75">
      <c r="E81" s="1"/>
      <c r="K81" s="1"/>
      <c r="N81" s="30"/>
    </row>
    <row r="83" spans="2:9" ht="26.25">
      <c r="B83" s="448" t="s">
        <v>342</v>
      </c>
      <c r="C83" s="448"/>
      <c r="D83" s="448"/>
      <c r="E83" s="448"/>
      <c r="F83" s="448"/>
      <c r="G83" s="448"/>
      <c r="H83" s="448"/>
      <c r="I83" s="448"/>
    </row>
    <row r="84" spans="2:9" ht="15">
      <c r="B84" s="449" t="s">
        <v>333</v>
      </c>
      <c r="C84" s="450"/>
      <c r="D84" s="450"/>
      <c r="E84" s="450"/>
      <c r="F84" s="449" t="s">
        <v>340</v>
      </c>
      <c r="G84" s="450"/>
      <c r="H84" s="450"/>
      <c r="I84" s="451"/>
    </row>
    <row r="85" spans="2:17" ht="54">
      <c r="B85" s="213" t="s">
        <v>338</v>
      </c>
      <c r="C85" s="213" t="s">
        <v>339</v>
      </c>
      <c r="D85" s="213" t="s">
        <v>341</v>
      </c>
      <c r="E85" s="213" t="s">
        <v>344</v>
      </c>
      <c r="F85" s="20" t="s">
        <v>338</v>
      </c>
      <c r="G85" s="213" t="s">
        <v>339</v>
      </c>
      <c r="H85" s="213" t="s">
        <v>341</v>
      </c>
      <c r="I85" s="213" t="s">
        <v>344</v>
      </c>
      <c r="K85" s="256" t="s">
        <v>351</v>
      </c>
      <c r="L85" s="248"/>
      <c r="M85" s="248"/>
      <c r="N85" s="248"/>
      <c r="O85" s="248"/>
      <c r="P85" s="249"/>
      <c r="Q85" s="249"/>
    </row>
    <row r="86" spans="1:17" ht="15.75" thickBot="1">
      <c r="A86" s="228" t="s">
        <v>343</v>
      </c>
      <c r="B86" s="245">
        <f>SUM(B87:B90)</f>
        <v>18004</v>
      </c>
      <c r="C86" s="245">
        <f>SUM(C87:C90)</f>
        <v>18830</v>
      </c>
      <c r="D86" s="245">
        <f>B86-C86</f>
        <v>-826</v>
      </c>
      <c r="E86" s="246">
        <f>D86/C86</f>
        <v>-0.04386617100371747</v>
      </c>
      <c r="F86" s="245">
        <f>SUM(F87:F90)</f>
        <v>144463</v>
      </c>
      <c r="G86" s="245">
        <f>SUM(G87:G90)</f>
        <v>155856</v>
      </c>
      <c r="H86" s="245">
        <f>F86-G86</f>
        <v>-11393</v>
      </c>
      <c r="I86" s="246">
        <f>H86/G86</f>
        <v>-0.07309952776922288</v>
      </c>
      <c r="K86" s="248" t="s">
        <v>352</v>
      </c>
      <c r="L86" s="248"/>
      <c r="M86" s="248"/>
      <c r="N86" s="248"/>
      <c r="O86" s="248"/>
      <c r="P86" s="249"/>
      <c r="Q86" s="249"/>
    </row>
    <row r="87" spans="1:17" ht="15">
      <c r="A87" s="211" t="s">
        <v>334</v>
      </c>
      <c r="B87" s="376">
        <v>5930</v>
      </c>
      <c r="C87" s="367">
        <v>5647</v>
      </c>
      <c r="D87" s="368">
        <f>B87-C87</f>
        <v>283</v>
      </c>
      <c r="E87" s="369">
        <f>D87/C87</f>
        <v>0.050115105365680895</v>
      </c>
      <c r="F87" s="379">
        <v>24063</v>
      </c>
      <c r="G87" s="374">
        <v>25676</v>
      </c>
      <c r="H87" s="368">
        <f>F87-G87</f>
        <v>-1613</v>
      </c>
      <c r="I87" s="369">
        <f>H87/G87</f>
        <v>-0.06282131173079919</v>
      </c>
      <c r="K87" s="248" t="s">
        <v>353</v>
      </c>
      <c r="L87" s="248"/>
      <c r="M87" s="248"/>
      <c r="N87" s="248"/>
      <c r="O87" s="248"/>
      <c r="P87" s="249"/>
      <c r="Q87" s="249"/>
    </row>
    <row r="88" spans="1:17" ht="14.25">
      <c r="A88" s="293" t="s">
        <v>335</v>
      </c>
      <c r="B88" s="377">
        <v>4209</v>
      </c>
      <c r="C88" s="294">
        <v>4571</v>
      </c>
      <c r="D88" s="247">
        <f>B88-C88</f>
        <v>-362</v>
      </c>
      <c r="E88" s="370">
        <f>D88/C88</f>
        <v>-0.07919492452417413</v>
      </c>
      <c r="F88" s="380">
        <v>34632</v>
      </c>
      <c r="G88" s="257">
        <v>36585</v>
      </c>
      <c r="H88" s="247">
        <f>F88-G88</f>
        <v>-1953</v>
      </c>
      <c r="I88" s="370">
        <f>H88/G88</f>
        <v>-0.05338253382533825</v>
      </c>
      <c r="K88" s="248" t="s">
        <v>354</v>
      </c>
      <c r="L88" s="248"/>
      <c r="M88" s="248"/>
      <c r="N88" s="248"/>
      <c r="O88" s="248"/>
      <c r="P88" s="249"/>
      <c r="Q88" s="249"/>
    </row>
    <row r="89" spans="1:17" ht="15">
      <c r="A89" s="211" t="s">
        <v>336</v>
      </c>
      <c r="B89" s="377">
        <v>2273</v>
      </c>
      <c r="C89" s="294">
        <v>3087</v>
      </c>
      <c r="D89" s="247">
        <f>B89-C89</f>
        <v>-814</v>
      </c>
      <c r="E89" s="370">
        <f>D89/C89</f>
        <v>-0.26368642695173306</v>
      </c>
      <c r="F89" s="380">
        <v>49118</v>
      </c>
      <c r="G89" s="257">
        <v>55127</v>
      </c>
      <c r="H89" s="247">
        <f>F89-G89</f>
        <v>-6009</v>
      </c>
      <c r="I89" s="370">
        <f>H89/G89</f>
        <v>-0.10900284796923468</v>
      </c>
      <c r="K89" s="248" t="s">
        <v>360</v>
      </c>
      <c r="L89" s="248"/>
      <c r="M89" s="248"/>
      <c r="N89" s="248"/>
      <c r="O89" s="248"/>
      <c r="P89" s="249"/>
      <c r="Q89" s="249"/>
    </row>
    <row r="90" spans="1:15" ht="15.75" thickBot="1">
      <c r="A90" s="212" t="s">
        <v>337</v>
      </c>
      <c r="B90" s="378">
        <v>5592</v>
      </c>
      <c r="C90" s="371">
        <v>5525</v>
      </c>
      <c r="D90" s="372">
        <f>B90-C90</f>
        <v>67</v>
      </c>
      <c r="E90" s="373">
        <f>D90/C90</f>
        <v>0.012126696832579185</v>
      </c>
      <c r="F90" s="381">
        <v>36650</v>
      </c>
      <c r="G90" s="375">
        <v>38468</v>
      </c>
      <c r="H90" s="372">
        <f>F90-G90</f>
        <v>-1818</v>
      </c>
      <c r="I90" s="373">
        <f>H90/G90</f>
        <v>-0.04726006030986794</v>
      </c>
      <c r="K90" s="248" t="s">
        <v>361</v>
      </c>
      <c r="L90" s="229"/>
      <c r="M90" s="229"/>
      <c r="N90" s="229"/>
      <c r="O90" s="229"/>
    </row>
    <row r="91" s="229" customFormat="1" ht="12.75">
      <c r="K91" s="248"/>
    </row>
    <row r="92" spans="6:7" s="229" customFormat="1" ht="14.25">
      <c r="F92" s="229" t="s">
        <v>399</v>
      </c>
      <c r="G92" s="280"/>
    </row>
    <row r="93" spans="5:7" s="229" customFormat="1" ht="14.25">
      <c r="E93" s="320" t="s">
        <v>424</v>
      </c>
      <c r="G93" s="280"/>
    </row>
    <row r="94" spans="1:7" s="229" customFormat="1" ht="12.75" customHeight="1">
      <c r="A94" s="456" t="s">
        <v>357</v>
      </c>
      <c r="B94" s="259"/>
      <c r="G94" s="280"/>
    </row>
    <row r="95" spans="1:7" s="229" customFormat="1" ht="14.25">
      <c r="A95" s="456"/>
      <c r="B95" s="259"/>
      <c r="G95" s="280"/>
    </row>
    <row r="96" spans="1:2" s="229" customFormat="1" ht="12.75">
      <c r="A96" s="456"/>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pans="3:5" s="355" customFormat="1" ht="15.75">
      <c r="C101" s="390"/>
      <c r="D101" s="391"/>
      <c r="E101" s="391"/>
    </row>
    <row r="102" spans="3:5" s="355" customFormat="1" ht="15.75">
      <c r="C102" s="390"/>
      <c r="D102" s="391"/>
      <c r="E102" s="391"/>
    </row>
    <row r="103" spans="3:5" s="355" customFormat="1" ht="15.75">
      <c r="C103" s="392"/>
      <c r="D103" s="391"/>
      <c r="E103" s="391"/>
    </row>
    <row r="104" spans="3:5" s="355" customFormat="1" ht="15.75">
      <c r="C104" s="390"/>
      <c r="D104" s="391"/>
      <c r="E104" s="391"/>
    </row>
    <row r="105" spans="3:5" s="355" customFormat="1" ht="15.75">
      <c r="C105" s="390"/>
      <c r="D105" s="391"/>
      <c r="E105" s="391"/>
    </row>
    <row r="106" s="355"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66" t="s">
        <v>39</v>
      </c>
      <c r="C4" s="466"/>
      <c r="D4" s="466"/>
      <c r="E4" s="466"/>
      <c r="F4" s="466"/>
      <c r="G4" s="466"/>
      <c r="H4" s="466"/>
      <c r="I4" s="466"/>
      <c r="J4" s="466"/>
      <c r="K4" s="466" t="s">
        <v>39</v>
      </c>
      <c r="L4" s="466"/>
      <c r="M4" s="466"/>
      <c r="N4" s="466"/>
      <c r="O4" s="466"/>
      <c r="P4" s="466"/>
      <c r="Q4" s="466"/>
      <c r="R4" s="466"/>
      <c r="S4" s="466"/>
      <c r="T4" s="466"/>
      <c r="U4" s="466"/>
      <c r="V4" s="466"/>
      <c r="W4" s="466"/>
      <c r="X4" s="466"/>
      <c r="Y4" s="466" t="s">
        <v>39</v>
      </c>
      <c r="Z4" s="466"/>
      <c r="AA4" s="466"/>
      <c r="AB4" s="466"/>
      <c r="AC4" s="466"/>
      <c r="AD4" s="466"/>
      <c r="AE4" s="466"/>
      <c r="AF4" s="466"/>
      <c r="AG4" s="466"/>
      <c r="AH4" s="466" t="s">
        <v>39</v>
      </c>
      <c r="AI4" s="466"/>
      <c r="AJ4" s="466"/>
      <c r="AK4" s="466"/>
      <c r="AL4" s="466"/>
      <c r="AM4" s="466"/>
      <c r="AN4" s="466"/>
      <c r="AO4" s="466"/>
      <c r="AP4" s="466"/>
      <c r="AQ4" s="466"/>
      <c r="AR4" s="289"/>
      <c r="AS4" s="289"/>
      <c r="AT4" s="289"/>
      <c r="AU4" s="251"/>
      <c r="AV4" s="289"/>
      <c r="AW4" s="465" t="s">
        <v>29</v>
      </c>
      <c r="AX4" s="465"/>
      <c r="AY4" s="465"/>
      <c r="AZ4" s="465"/>
      <c r="BA4" s="465"/>
      <c r="BB4" s="465"/>
      <c r="BC4" s="465"/>
      <c r="BD4" s="465"/>
      <c r="BE4" s="465"/>
      <c r="BF4" s="465"/>
      <c r="BG4" s="465" t="s">
        <v>29</v>
      </c>
      <c r="BH4" s="465"/>
      <c r="BI4" s="465"/>
      <c r="BJ4" s="465"/>
      <c r="BK4" s="465"/>
      <c r="BL4" s="465"/>
      <c r="BM4" s="465"/>
      <c r="BN4" s="465"/>
      <c r="BO4" s="465"/>
      <c r="BP4" s="465"/>
      <c r="BQ4" s="465"/>
      <c r="BR4" s="465"/>
      <c r="BS4" s="465" t="s">
        <v>29</v>
      </c>
      <c r="BT4" s="465"/>
      <c r="BU4" s="465"/>
      <c r="BV4" s="465"/>
      <c r="BW4" s="465"/>
      <c r="BX4" s="465"/>
      <c r="BY4" s="465"/>
      <c r="BZ4" s="465" t="s">
        <v>29</v>
      </c>
      <c r="CA4" s="465"/>
      <c r="CB4" s="465"/>
      <c r="CC4" s="465"/>
      <c r="CD4" s="465"/>
      <c r="CE4" s="465"/>
      <c r="CF4" s="465"/>
      <c r="CG4" s="465"/>
      <c r="CH4" s="465" t="s">
        <v>29</v>
      </c>
      <c r="CI4" s="465"/>
      <c r="CJ4" s="465"/>
      <c r="CK4" s="465"/>
      <c r="CL4" s="465"/>
      <c r="CM4" s="465"/>
      <c r="CN4" s="288"/>
      <c r="CO4" s="288"/>
      <c r="CP4" s="288"/>
      <c r="CQ4" s="288"/>
      <c r="CR4" s="304"/>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6"/>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6"/>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6"/>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6"/>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6"/>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6"/>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6"/>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6"/>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6"/>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6"/>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6"/>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6"/>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6"/>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6"/>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6"/>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6"/>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6"/>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6"/>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6"/>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6"/>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6"/>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6"/>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6"/>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6"/>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6"/>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6"/>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6"/>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6"/>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6"/>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6"/>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6"/>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6"/>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6"/>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6"/>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6"/>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6"/>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6"/>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6"/>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6"/>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6"/>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6"/>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6"/>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6"/>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6"/>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6"/>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6"/>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6"/>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6"/>
    </row>
    <row r="68" spans="1:96" ht="12.7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5" customWidth="1"/>
    <col min="4" max="4" width="18.57421875" style="0" customWidth="1"/>
    <col min="5" max="5" width="23.421875" style="0" customWidth="1"/>
    <col min="6" max="6" width="16.140625" style="0" customWidth="1"/>
    <col min="7" max="7" width="21.00390625" style="330" customWidth="1"/>
  </cols>
  <sheetData>
    <row r="1" spans="1:7" ht="12.75">
      <c r="A1" s="467" t="s">
        <v>540</v>
      </c>
      <c r="B1" s="467"/>
      <c r="C1" s="467"/>
      <c r="D1" s="467"/>
      <c r="E1" s="467"/>
      <c r="F1" s="467"/>
      <c r="G1" s="467"/>
    </row>
    <row r="2" spans="1:7" ht="12.75">
      <c r="A2" s="292" t="s">
        <v>426</v>
      </c>
      <c r="B2" s="292" t="s">
        <v>427</v>
      </c>
      <c r="C2" s="354" t="s">
        <v>493</v>
      </c>
      <c r="D2" s="292" t="s">
        <v>541</v>
      </c>
      <c r="E2" s="292" t="s">
        <v>542</v>
      </c>
      <c r="F2" s="292" t="s">
        <v>543</v>
      </c>
      <c r="G2" s="329" t="s">
        <v>544</v>
      </c>
    </row>
    <row r="3" ht="12.75">
      <c r="A3" t="s">
        <v>69</v>
      </c>
    </row>
    <row r="4" spans="1:7" ht="12.75">
      <c r="A4" t="s">
        <v>431</v>
      </c>
      <c r="B4">
        <v>20055</v>
      </c>
      <c r="C4" s="355">
        <v>16729</v>
      </c>
      <c r="F4">
        <v>11</v>
      </c>
      <c r="G4" s="330">
        <v>11</v>
      </c>
    </row>
    <row r="5" spans="1:7" ht="12.75">
      <c r="A5" t="s">
        <v>433</v>
      </c>
      <c r="B5">
        <v>11449</v>
      </c>
      <c r="C5" s="355">
        <v>9066</v>
      </c>
      <c r="F5">
        <v>1</v>
      </c>
      <c r="G5" s="330">
        <v>1</v>
      </c>
    </row>
    <row r="6" spans="1:7" ht="12.75">
      <c r="A6" t="s">
        <v>334</v>
      </c>
      <c r="B6">
        <v>8229</v>
      </c>
      <c r="C6" s="355">
        <v>5167</v>
      </c>
      <c r="F6">
        <v>2</v>
      </c>
      <c r="G6" s="330">
        <v>2</v>
      </c>
    </row>
    <row r="7" spans="1:7" ht="12.75">
      <c r="A7" t="s">
        <v>436</v>
      </c>
      <c r="B7">
        <v>24009</v>
      </c>
      <c r="C7" s="355">
        <v>17987</v>
      </c>
      <c r="F7">
        <v>9</v>
      </c>
      <c r="G7" s="330">
        <v>6</v>
      </c>
    </row>
    <row r="8" spans="1:7" ht="12.75">
      <c r="A8" t="s">
        <v>440</v>
      </c>
      <c r="B8">
        <v>16922</v>
      </c>
      <c r="C8" s="355">
        <v>10411</v>
      </c>
      <c r="F8">
        <v>9</v>
      </c>
      <c r="G8" s="330">
        <v>1</v>
      </c>
    </row>
    <row r="9" spans="1:3" ht="12.75">
      <c r="A9" t="s">
        <v>443</v>
      </c>
      <c r="B9">
        <v>2955</v>
      </c>
      <c r="C9" s="355">
        <v>1436</v>
      </c>
    </row>
    <row r="10" spans="1:7" ht="12.75">
      <c r="A10" t="s">
        <v>447</v>
      </c>
      <c r="B10">
        <v>18598</v>
      </c>
      <c r="C10" s="355">
        <v>14812</v>
      </c>
      <c r="F10">
        <v>7</v>
      </c>
      <c r="G10" s="330">
        <v>5</v>
      </c>
    </row>
    <row r="11" spans="1:6" ht="12.75">
      <c r="A11" t="s">
        <v>453</v>
      </c>
      <c r="B11">
        <v>2126</v>
      </c>
      <c r="C11" s="355">
        <v>1379</v>
      </c>
      <c r="F11">
        <v>1</v>
      </c>
    </row>
    <row r="12" spans="1:7" ht="12.75">
      <c r="A12" t="s">
        <v>459</v>
      </c>
      <c r="B12">
        <v>12792</v>
      </c>
      <c r="C12" s="355">
        <v>10130</v>
      </c>
      <c r="F12">
        <v>4</v>
      </c>
      <c r="G12" s="330">
        <v>3</v>
      </c>
    </row>
    <row r="13" spans="1:7" ht="12.75">
      <c r="A13" t="s">
        <v>460</v>
      </c>
      <c r="B13">
        <v>4130</v>
      </c>
      <c r="C13" s="355">
        <v>2460</v>
      </c>
      <c r="F13">
        <v>4</v>
      </c>
      <c r="G13" s="330">
        <v>4</v>
      </c>
    </row>
    <row r="14" spans="1:7" ht="12.75">
      <c r="A14" t="s">
        <v>462</v>
      </c>
      <c r="B14">
        <v>23895</v>
      </c>
      <c r="C14" s="355">
        <v>15577</v>
      </c>
      <c r="F14">
        <v>36661</v>
      </c>
      <c r="G14" s="330">
        <v>23210</v>
      </c>
    </row>
    <row r="15" spans="1:7" ht="12.75">
      <c r="A15" t="s">
        <v>464</v>
      </c>
      <c r="B15">
        <v>11583</v>
      </c>
      <c r="C15" s="355">
        <v>8723</v>
      </c>
      <c r="F15">
        <v>5</v>
      </c>
      <c r="G15" s="330">
        <v>5</v>
      </c>
    </row>
    <row r="16" spans="1:3" ht="12.75">
      <c r="A16" t="s">
        <v>466</v>
      </c>
      <c r="B16">
        <v>4391</v>
      </c>
      <c r="C16" s="355">
        <v>1749</v>
      </c>
    </row>
    <row r="17" spans="1:3" ht="12.75">
      <c r="A17" t="s">
        <v>477</v>
      </c>
      <c r="B17">
        <v>2807</v>
      </c>
      <c r="C17" s="355">
        <v>1160</v>
      </c>
    </row>
    <row r="18" spans="1:7" ht="12.75">
      <c r="A18" t="s">
        <v>481</v>
      </c>
      <c r="B18">
        <v>977</v>
      </c>
      <c r="C18" s="355">
        <v>622</v>
      </c>
      <c r="F18">
        <v>1</v>
      </c>
      <c r="G18" s="330">
        <v>1</v>
      </c>
    </row>
    <row r="19" spans="1:3" ht="12.75">
      <c r="A19" t="s">
        <v>483</v>
      </c>
      <c r="B19">
        <v>1180</v>
      </c>
      <c r="C19" s="355">
        <v>582</v>
      </c>
    </row>
    <row r="20" spans="1:3" ht="12.75">
      <c r="A20" t="s">
        <v>335</v>
      </c>
      <c r="B20">
        <v>32244</v>
      </c>
      <c r="C20" s="355">
        <v>21335</v>
      </c>
    </row>
    <row r="21" spans="1:7" ht="12.75">
      <c r="A21" t="s">
        <v>437</v>
      </c>
      <c r="B21">
        <v>24213</v>
      </c>
      <c r="C21" s="355">
        <v>16253</v>
      </c>
      <c r="F21">
        <v>4</v>
      </c>
      <c r="G21" s="330">
        <v>4</v>
      </c>
    </row>
    <row r="22" spans="1:7" ht="12.75">
      <c r="A22" t="s">
        <v>446</v>
      </c>
      <c r="B22">
        <v>9890</v>
      </c>
      <c r="C22" s="355">
        <v>6558</v>
      </c>
      <c r="F22">
        <v>5</v>
      </c>
      <c r="G22" s="330">
        <v>4</v>
      </c>
    </row>
    <row r="23" spans="1:7" ht="12.75">
      <c r="A23" t="s">
        <v>448</v>
      </c>
      <c r="B23">
        <v>10223</v>
      </c>
      <c r="C23" s="355">
        <v>6982</v>
      </c>
      <c r="F23">
        <v>8</v>
      </c>
      <c r="G23" s="330">
        <v>4</v>
      </c>
    </row>
    <row r="24" spans="1:7" ht="12.75">
      <c r="A24" t="s">
        <v>452</v>
      </c>
      <c r="B24">
        <v>11306</v>
      </c>
      <c r="C24" s="355">
        <v>7501</v>
      </c>
      <c r="F24">
        <v>2</v>
      </c>
      <c r="G24" s="330">
        <v>2</v>
      </c>
    </row>
    <row r="25" spans="1:7" ht="12.75">
      <c r="A25" t="s">
        <v>456</v>
      </c>
      <c r="B25">
        <v>14954</v>
      </c>
      <c r="C25" s="355">
        <v>10179</v>
      </c>
      <c r="F25">
        <v>12</v>
      </c>
      <c r="G25" s="330">
        <v>9</v>
      </c>
    </row>
    <row r="26" spans="1:7" ht="12.75">
      <c r="A26" t="s">
        <v>457</v>
      </c>
      <c r="B26">
        <v>13021</v>
      </c>
      <c r="C26" s="355">
        <v>5890</v>
      </c>
      <c r="F26">
        <v>1</v>
      </c>
      <c r="G26" s="330">
        <v>1</v>
      </c>
    </row>
    <row r="27" spans="1:7" ht="12.75">
      <c r="A27" t="s">
        <v>468</v>
      </c>
      <c r="B27">
        <v>29634</v>
      </c>
      <c r="C27" s="355">
        <v>22738</v>
      </c>
      <c r="F27">
        <v>9</v>
      </c>
      <c r="G27" s="330">
        <v>1</v>
      </c>
    </row>
    <row r="28" spans="1:7" ht="12.75">
      <c r="A28" t="s">
        <v>471</v>
      </c>
      <c r="B28">
        <v>4991</v>
      </c>
      <c r="C28" s="355">
        <v>2985</v>
      </c>
      <c r="F28">
        <v>6</v>
      </c>
      <c r="G28" s="330">
        <v>5</v>
      </c>
    </row>
    <row r="29" spans="1:7" ht="12.75">
      <c r="A29" t="s">
        <v>476</v>
      </c>
      <c r="B29">
        <v>47732</v>
      </c>
      <c r="C29" s="355">
        <v>32083</v>
      </c>
      <c r="F29">
        <v>53</v>
      </c>
      <c r="G29" s="330">
        <v>19</v>
      </c>
    </row>
    <row r="30" spans="1:3" ht="12.75">
      <c r="A30" t="s">
        <v>479</v>
      </c>
      <c r="B30">
        <v>163</v>
      </c>
      <c r="C30" s="355">
        <v>126</v>
      </c>
    </row>
    <row r="31" spans="1:7" ht="12.75">
      <c r="A31" t="s">
        <v>484</v>
      </c>
      <c r="B31">
        <v>45623</v>
      </c>
      <c r="C31" s="355">
        <v>30595</v>
      </c>
      <c r="F31">
        <v>10</v>
      </c>
      <c r="G31" s="330">
        <v>8</v>
      </c>
    </row>
    <row r="32" spans="1:7" ht="12.75">
      <c r="A32" t="s">
        <v>435</v>
      </c>
      <c r="B32">
        <v>21256</v>
      </c>
      <c r="C32" s="355">
        <v>17039</v>
      </c>
      <c r="F32">
        <v>9</v>
      </c>
      <c r="G32" s="330">
        <v>8</v>
      </c>
    </row>
    <row r="33" spans="1:3" ht="12.75">
      <c r="A33" t="s">
        <v>439</v>
      </c>
      <c r="B33">
        <v>6714</v>
      </c>
      <c r="C33" s="355">
        <v>4779</v>
      </c>
    </row>
    <row r="34" spans="1:3" ht="12.75">
      <c r="A34" t="s">
        <v>441</v>
      </c>
      <c r="B34">
        <v>1109</v>
      </c>
      <c r="C34" s="355">
        <v>315</v>
      </c>
    </row>
    <row r="35" spans="1:7" ht="12.75">
      <c r="A35" t="s">
        <v>445</v>
      </c>
      <c r="B35">
        <v>37478</v>
      </c>
      <c r="C35" s="355">
        <v>27741</v>
      </c>
      <c r="F35">
        <v>8</v>
      </c>
      <c r="G35" s="330">
        <v>7</v>
      </c>
    </row>
    <row r="36" spans="1:6" ht="12.75">
      <c r="A36" t="s">
        <v>449</v>
      </c>
      <c r="B36">
        <v>3607</v>
      </c>
      <c r="C36" s="355">
        <v>1542</v>
      </c>
      <c r="F36">
        <v>1</v>
      </c>
    </row>
    <row r="37" spans="1:7" ht="12.75">
      <c r="A37" t="s">
        <v>450</v>
      </c>
      <c r="B37">
        <v>8427</v>
      </c>
      <c r="C37" s="355">
        <v>5515</v>
      </c>
      <c r="F37">
        <v>3</v>
      </c>
      <c r="G37" s="330">
        <v>3</v>
      </c>
    </row>
    <row r="38" spans="1:7" ht="12.75">
      <c r="A38" t="s">
        <v>455</v>
      </c>
      <c r="B38">
        <v>10214</v>
      </c>
      <c r="C38" s="355">
        <v>3933</v>
      </c>
      <c r="F38">
        <v>16041</v>
      </c>
      <c r="G38" s="330">
        <v>4908</v>
      </c>
    </row>
    <row r="39" spans="1:6" ht="12.75">
      <c r="A39" t="s">
        <v>337</v>
      </c>
      <c r="B39">
        <v>16998</v>
      </c>
      <c r="C39" s="355">
        <v>10860</v>
      </c>
      <c r="F39">
        <v>1</v>
      </c>
    </row>
    <row r="40" spans="1:7" ht="12.75">
      <c r="A40" t="s">
        <v>458</v>
      </c>
      <c r="B40">
        <v>14672</v>
      </c>
      <c r="C40" s="355">
        <v>10639</v>
      </c>
      <c r="F40">
        <v>5</v>
      </c>
      <c r="G40" s="330">
        <v>2</v>
      </c>
    </row>
    <row r="41" spans="1:3" ht="12.75">
      <c r="A41" t="s">
        <v>473</v>
      </c>
      <c r="B41">
        <v>958</v>
      </c>
      <c r="C41" s="355">
        <v>280</v>
      </c>
    </row>
    <row r="42" spans="1:7" ht="12.75">
      <c r="A42" t="s">
        <v>474</v>
      </c>
      <c r="B42">
        <v>20057</v>
      </c>
      <c r="C42" s="355">
        <v>14189</v>
      </c>
      <c r="F42">
        <v>3</v>
      </c>
      <c r="G42" s="330">
        <v>2</v>
      </c>
    </row>
    <row r="43" spans="1:7" ht="12.75">
      <c r="A43" t="s">
        <v>475</v>
      </c>
      <c r="B43">
        <v>12284</v>
      </c>
      <c r="C43" s="355">
        <v>3877</v>
      </c>
      <c r="F43">
        <v>24438</v>
      </c>
      <c r="G43" s="330">
        <v>13407</v>
      </c>
    </row>
    <row r="44" spans="1:7" ht="12.75">
      <c r="A44" t="s">
        <v>478</v>
      </c>
      <c r="B44">
        <v>47308</v>
      </c>
      <c r="C44" s="355">
        <v>36735</v>
      </c>
      <c r="F44">
        <v>7</v>
      </c>
      <c r="G44" s="330">
        <v>5</v>
      </c>
    </row>
    <row r="45" spans="1:3" ht="12.75">
      <c r="A45" t="s">
        <v>482</v>
      </c>
      <c r="B45">
        <v>5107</v>
      </c>
      <c r="C45" s="355">
        <v>3017</v>
      </c>
    </row>
    <row r="46" spans="1:6" ht="12.75">
      <c r="A46" t="s">
        <v>428</v>
      </c>
      <c r="B46">
        <v>4975</v>
      </c>
      <c r="C46" s="355">
        <v>2864</v>
      </c>
      <c r="F46">
        <v>1</v>
      </c>
    </row>
    <row r="47" spans="1:3" ht="12.75">
      <c r="A47" t="s">
        <v>430</v>
      </c>
      <c r="B47">
        <v>2700</v>
      </c>
      <c r="C47" s="355">
        <v>1901</v>
      </c>
    </row>
    <row r="48" spans="1:6" ht="12.75">
      <c r="A48" t="s">
        <v>432</v>
      </c>
      <c r="B48">
        <v>2176</v>
      </c>
      <c r="C48" s="355">
        <v>960</v>
      </c>
      <c r="F48">
        <v>1</v>
      </c>
    </row>
    <row r="49" spans="1:7" ht="12.75">
      <c r="A49" t="s">
        <v>438</v>
      </c>
      <c r="B49">
        <v>12915</v>
      </c>
      <c r="C49" s="355">
        <v>8189</v>
      </c>
      <c r="D49">
        <v>508</v>
      </c>
      <c r="E49">
        <v>344</v>
      </c>
      <c r="F49">
        <v>4</v>
      </c>
      <c r="G49" s="330">
        <v>4</v>
      </c>
    </row>
    <row r="50" spans="1:7" ht="12.75">
      <c r="A50" t="s">
        <v>434</v>
      </c>
      <c r="B50">
        <v>1221</v>
      </c>
      <c r="C50" s="355">
        <v>425</v>
      </c>
      <c r="F50">
        <v>2</v>
      </c>
      <c r="G50" s="330">
        <v>2</v>
      </c>
    </row>
    <row r="51" spans="1:3" ht="12.75">
      <c r="A51" t="s">
        <v>442</v>
      </c>
      <c r="B51">
        <v>2255</v>
      </c>
      <c r="C51" s="355">
        <v>1153</v>
      </c>
    </row>
    <row r="52" spans="1:3" ht="12.75">
      <c r="A52" t="s">
        <v>444</v>
      </c>
      <c r="B52">
        <v>5980</v>
      </c>
      <c r="C52" s="355">
        <v>4545</v>
      </c>
    </row>
    <row r="53" spans="1:7" ht="12.75">
      <c r="A53" t="s">
        <v>451</v>
      </c>
      <c r="B53">
        <v>22341</v>
      </c>
      <c r="C53" s="355">
        <v>18460</v>
      </c>
      <c r="F53">
        <v>8</v>
      </c>
      <c r="G53" s="330">
        <v>7</v>
      </c>
    </row>
    <row r="54" spans="1:7" ht="12.75">
      <c r="A54" t="s">
        <v>454</v>
      </c>
      <c r="B54">
        <v>2211</v>
      </c>
      <c r="C54" s="355">
        <v>1232</v>
      </c>
      <c r="F54">
        <v>159</v>
      </c>
      <c r="G54" s="330">
        <v>38</v>
      </c>
    </row>
    <row r="55" spans="1:7" ht="12.75">
      <c r="A55" t="s">
        <v>461</v>
      </c>
      <c r="B55">
        <v>30259</v>
      </c>
      <c r="C55" s="355">
        <v>25264</v>
      </c>
      <c r="F55">
        <v>5</v>
      </c>
      <c r="G55" s="330">
        <v>3</v>
      </c>
    </row>
    <row r="56" spans="1:7" ht="12.75">
      <c r="A56" t="s">
        <v>463</v>
      </c>
      <c r="B56">
        <v>23007</v>
      </c>
      <c r="C56" s="355">
        <v>17929</v>
      </c>
      <c r="F56">
        <v>3</v>
      </c>
      <c r="G56" s="330">
        <v>2</v>
      </c>
    </row>
    <row r="57" spans="1:7" ht="12.75">
      <c r="A57" t="s">
        <v>465</v>
      </c>
      <c r="B57">
        <v>12155</v>
      </c>
      <c r="C57" s="355">
        <v>7779</v>
      </c>
      <c r="F57">
        <v>1</v>
      </c>
      <c r="G57" s="330">
        <v>1</v>
      </c>
    </row>
    <row r="58" spans="1:7" ht="12.75">
      <c r="A58" t="s">
        <v>467</v>
      </c>
      <c r="B58">
        <v>9870</v>
      </c>
      <c r="C58" s="355">
        <v>8025</v>
      </c>
      <c r="F58">
        <v>3</v>
      </c>
      <c r="G58" s="330">
        <v>2</v>
      </c>
    </row>
    <row r="59" spans="1:7" ht="12.75">
      <c r="A59" t="s">
        <v>469</v>
      </c>
      <c r="B59">
        <v>18909</v>
      </c>
      <c r="C59" s="355">
        <v>14457</v>
      </c>
      <c r="F59">
        <v>1</v>
      </c>
      <c r="G59" s="330">
        <v>1</v>
      </c>
    </row>
    <row r="60" spans="1:3" ht="12.75">
      <c r="A60" t="s">
        <v>470</v>
      </c>
      <c r="B60">
        <v>29743</v>
      </c>
      <c r="C60" s="355">
        <v>19913</v>
      </c>
    </row>
    <row r="61" spans="1:7" ht="12.75">
      <c r="A61" t="s">
        <v>472</v>
      </c>
      <c r="B61">
        <v>25628</v>
      </c>
      <c r="C61" s="355">
        <v>19716</v>
      </c>
      <c r="F61">
        <v>8</v>
      </c>
      <c r="G61" s="330">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0" customWidth="1"/>
    <col min="3" max="3" width="25.421875" style="0" customWidth="1"/>
    <col min="5" max="5" width="14.28125" style="330" bestFit="1" customWidth="1"/>
    <col min="6" max="6" width="22.28125" style="0" customWidth="1"/>
    <col min="7" max="7" width="16.7109375" style="330" customWidth="1"/>
  </cols>
  <sheetData>
    <row r="1" spans="1:7" ht="12.75">
      <c r="A1" s="467" t="s">
        <v>425</v>
      </c>
      <c r="B1" s="467"/>
      <c r="C1" s="467" t="s">
        <v>495</v>
      </c>
      <c r="D1" s="467"/>
      <c r="E1" s="467"/>
      <c r="F1" s="467" t="s">
        <v>492</v>
      </c>
      <c r="G1" s="467"/>
    </row>
    <row r="2" spans="1:7" ht="12.75">
      <c r="A2" t="s">
        <v>175</v>
      </c>
      <c r="B2" s="330">
        <f>SUM(B3:B4)</f>
        <v>0</v>
      </c>
      <c r="C2" t="s">
        <v>546</v>
      </c>
      <c r="D2">
        <f>SUM(D6,D4)</f>
        <v>13423</v>
      </c>
      <c r="F2" t="s">
        <v>175</v>
      </c>
      <c r="G2" s="330">
        <f>SUM(G3:G4)</f>
        <v>0</v>
      </c>
    </row>
    <row r="3" spans="1:7" ht="12.75">
      <c r="A3" t="s">
        <v>480</v>
      </c>
      <c r="B3" s="330">
        <f>VLOOKUP(A3,Entitlement_Data!A3:C64,2,FALSE)</f>
        <v>0</v>
      </c>
      <c r="C3" t="s">
        <v>547</v>
      </c>
      <c r="D3">
        <f>SUM(D5,D7)</f>
        <v>8533</v>
      </c>
      <c r="F3" t="s">
        <v>480</v>
      </c>
      <c r="G3" s="337">
        <f>IF(ISNA(VLOOKUP(F3,Entitlement_Data!A2:G66,3,FALSE)),"0",(VLOOKUP(F3,Entitlement_Data!A2:G66,3,FALSE)))</f>
        <v>0</v>
      </c>
    </row>
    <row r="4" spans="1:7" ht="12.75">
      <c r="A4" t="s">
        <v>429</v>
      </c>
      <c r="B4" s="330">
        <f>VLOOKUP(A4,Entitlement_Data!A3:C64,2,FALSE)</f>
        <v>0</v>
      </c>
      <c r="C4" t="s">
        <v>438</v>
      </c>
      <c r="D4">
        <f>VLOOKUP(C4,Entitlement_Data!A2:G67,2,FALSE)</f>
        <v>12915</v>
      </c>
      <c r="E4" s="330" t="s">
        <v>491</v>
      </c>
      <c r="F4" t="s">
        <v>429</v>
      </c>
      <c r="G4" s="337">
        <f>IF(ISNA(VLOOKUP(F4,Entitlement_Data!A2:G67,3,FALSE)),"0",(VLOOKUP(F4,Entitlement_Data!A2:G67,3,FALSE)))</f>
        <v>0</v>
      </c>
    </row>
    <row r="5" spans="3:4" ht="12.75">
      <c r="C5" t="s">
        <v>438</v>
      </c>
      <c r="D5">
        <f>VLOOKUP(C5,Entitlement_Data!A2:G67,3,FALSE)</f>
        <v>8189</v>
      </c>
    </row>
    <row r="6" spans="3:5" ht="12.75">
      <c r="C6" t="s">
        <v>438</v>
      </c>
      <c r="D6">
        <f>VLOOKUP(C6,Entitlement_Data!A2:G66,4,FALSE)</f>
        <v>508</v>
      </c>
      <c r="E6" s="330" t="s">
        <v>280</v>
      </c>
    </row>
    <row r="7" spans="3:5" ht="12.75">
      <c r="C7" t="s">
        <v>438</v>
      </c>
      <c r="D7">
        <f>VLOOKUP(C7,Entitlement_Data!A2:G68,5,FALSE)</f>
        <v>344</v>
      </c>
      <c r="E7" s="330"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0" customWidth="1"/>
    <col min="5" max="5" width="12.00390625" style="0" customWidth="1"/>
    <col min="6" max="6" width="16.28125" style="0" customWidth="1"/>
    <col min="7" max="7" width="11.00390625" style="0" customWidth="1"/>
    <col min="8" max="8" width="21.140625" style="330" customWidth="1"/>
    <col min="9" max="9" width="14.00390625" style="0" customWidth="1"/>
    <col min="10" max="10" width="7.8515625" style="0" customWidth="1"/>
    <col min="11" max="11" width="19.421875" style="330" customWidth="1"/>
    <col min="12" max="12" width="10.8515625" style="0" bestFit="1" customWidth="1"/>
    <col min="13" max="13" width="10.00390625" style="0" bestFit="1" customWidth="1"/>
    <col min="14" max="14" width="19.421875" style="330" bestFit="1" customWidth="1"/>
    <col min="15" max="15" width="13.421875" style="0" bestFit="1" customWidth="1"/>
    <col min="16" max="16" width="7.8515625" style="0" customWidth="1"/>
    <col min="17" max="17" width="14.421875" style="330" bestFit="1" customWidth="1"/>
    <col min="18" max="18" width="13.421875" style="0" customWidth="1"/>
    <col min="19" max="19" width="7.8515625" style="0" customWidth="1"/>
    <col min="20" max="20" width="19.421875" style="330" bestFit="1" customWidth="1"/>
  </cols>
  <sheetData>
    <row r="1" spans="1:20" ht="12.75">
      <c r="A1" s="467" t="s">
        <v>496</v>
      </c>
      <c r="B1" s="467"/>
      <c r="C1" s="467"/>
      <c r="D1" s="467"/>
      <c r="E1" s="467"/>
      <c r="F1" s="467"/>
      <c r="G1" s="467"/>
      <c r="H1" s="467"/>
      <c r="I1" s="467"/>
      <c r="J1" s="467"/>
      <c r="K1" s="467"/>
      <c r="N1"/>
      <c r="Q1"/>
      <c r="T1"/>
    </row>
    <row r="2" spans="1:20" ht="12.75">
      <c r="A2" s="292" t="s">
        <v>426</v>
      </c>
      <c r="B2" s="292" t="s">
        <v>548</v>
      </c>
      <c r="C2" s="292" t="s">
        <v>427</v>
      </c>
      <c r="D2" s="329" t="s">
        <v>493</v>
      </c>
      <c r="E2" s="331" t="s">
        <v>549</v>
      </c>
      <c r="F2" s="292" t="s">
        <v>550</v>
      </c>
      <c r="G2" s="292" t="s">
        <v>551</v>
      </c>
      <c r="H2" s="329" t="s">
        <v>552</v>
      </c>
      <c r="I2" s="331"/>
      <c r="J2" s="292"/>
      <c r="K2" s="329"/>
      <c r="N2"/>
      <c r="Q2"/>
      <c r="T2"/>
    </row>
    <row r="3" spans="1:20" ht="12.75">
      <c r="A3" t="s">
        <v>69</v>
      </c>
      <c r="B3">
        <v>0</v>
      </c>
      <c r="E3" s="293"/>
      <c r="I3" s="293"/>
      <c r="N3"/>
      <c r="Q3"/>
      <c r="T3"/>
    </row>
    <row r="4" spans="1:20" ht="12.75">
      <c r="A4" t="s">
        <v>431</v>
      </c>
      <c r="B4">
        <v>313</v>
      </c>
      <c r="C4">
        <v>5790</v>
      </c>
      <c r="D4" s="330">
        <v>4772</v>
      </c>
      <c r="E4" s="293">
        <v>21</v>
      </c>
      <c r="F4">
        <v>21</v>
      </c>
      <c r="I4" s="293"/>
      <c r="N4"/>
      <c r="Q4"/>
      <c r="T4"/>
    </row>
    <row r="5" spans="1:20" ht="12.75">
      <c r="A5" t="s">
        <v>433</v>
      </c>
      <c r="B5">
        <v>301</v>
      </c>
      <c r="C5">
        <v>4287</v>
      </c>
      <c r="D5" s="330">
        <v>3163</v>
      </c>
      <c r="E5">
        <v>8</v>
      </c>
      <c r="F5">
        <v>8</v>
      </c>
      <c r="I5" s="293"/>
      <c r="N5"/>
      <c r="Q5"/>
      <c r="T5"/>
    </row>
    <row r="6" spans="1:20" ht="12.75">
      <c r="A6" t="s">
        <v>334</v>
      </c>
      <c r="B6">
        <v>307</v>
      </c>
      <c r="C6">
        <v>3802</v>
      </c>
      <c r="D6" s="330">
        <v>2387</v>
      </c>
      <c r="E6">
        <v>8</v>
      </c>
      <c r="F6">
        <v>8</v>
      </c>
      <c r="I6" s="293"/>
      <c r="N6"/>
      <c r="Q6"/>
      <c r="T6"/>
    </row>
    <row r="7" spans="1:20" ht="12.75">
      <c r="A7" t="s">
        <v>436</v>
      </c>
      <c r="B7">
        <v>325</v>
      </c>
      <c r="C7">
        <v>6946</v>
      </c>
      <c r="D7" s="330">
        <v>4762</v>
      </c>
      <c r="E7">
        <v>35</v>
      </c>
      <c r="F7">
        <v>30</v>
      </c>
      <c r="I7" s="293"/>
      <c r="N7"/>
      <c r="Q7"/>
      <c r="T7"/>
    </row>
    <row r="8" spans="1:20" ht="12.75">
      <c r="A8" t="s">
        <v>440</v>
      </c>
      <c r="B8">
        <v>329</v>
      </c>
      <c r="C8">
        <v>5358</v>
      </c>
      <c r="D8" s="330">
        <v>3364</v>
      </c>
      <c r="E8">
        <v>17</v>
      </c>
      <c r="F8">
        <v>12</v>
      </c>
      <c r="I8" s="293"/>
      <c r="N8"/>
      <c r="Q8"/>
      <c r="T8"/>
    </row>
    <row r="9" spans="1:20" ht="12.75">
      <c r="A9" t="s">
        <v>443</v>
      </c>
      <c r="B9">
        <v>308</v>
      </c>
      <c r="C9">
        <v>1222</v>
      </c>
      <c r="D9" s="330">
        <v>492</v>
      </c>
      <c r="I9" s="293"/>
      <c r="N9"/>
      <c r="Q9"/>
      <c r="T9"/>
    </row>
    <row r="10" spans="1:20" ht="12.75">
      <c r="A10" t="s">
        <v>447</v>
      </c>
      <c r="B10">
        <v>326</v>
      </c>
      <c r="C10">
        <v>5784</v>
      </c>
      <c r="D10" s="330">
        <v>4455</v>
      </c>
      <c r="E10">
        <v>12</v>
      </c>
      <c r="F10">
        <v>7</v>
      </c>
      <c r="I10" s="293"/>
      <c r="N10"/>
      <c r="Q10"/>
      <c r="T10"/>
    </row>
    <row r="11" spans="1:20" ht="12.75">
      <c r="A11" t="s">
        <v>453</v>
      </c>
      <c r="B11">
        <v>373</v>
      </c>
      <c r="C11">
        <v>1101</v>
      </c>
      <c r="D11" s="330">
        <v>616</v>
      </c>
      <c r="E11">
        <v>3</v>
      </c>
      <c r="F11">
        <v>2</v>
      </c>
      <c r="I11" s="293"/>
      <c r="N11"/>
      <c r="Q11"/>
      <c r="T11"/>
    </row>
    <row r="12" spans="1:20" ht="12.75">
      <c r="A12" t="s">
        <v>459</v>
      </c>
      <c r="B12">
        <v>306</v>
      </c>
      <c r="C12">
        <v>4666</v>
      </c>
      <c r="D12" s="330">
        <v>2885</v>
      </c>
      <c r="E12">
        <v>9</v>
      </c>
      <c r="F12">
        <v>9</v>
      </c>
      <c r="I12" s="293"/>
      <c r="N12"/>
      <c r="Q12"/>
      <c r="T12"/>
    </row>
    <row r="13" spans="1:20" ht="12.75">
      <c r="A13" t="s">
        <v>460</v>
      </c>
      <c r="B13">
        <v>309</v>
      </c>
      <c r="C13">
        <v>1790</v>
      </c>
      <c r="D13" s="330">
        <v>1041</v>
      </c>
      <c r="E13">
        <v>3</v>
      </c>
      <c r="F13">
        <v>3</v>
      </c>
      <c r="I13" s="293"/>
      <c r="N13"/>
      <c r="Q13"/>
      <c r="T13"/>
    </row>
    <row r="14" spans="1:20" ht="12.75">
      <c r="A14" t="s">
        <v>462</v>
      </c>
      <c r="B14">
        <v>310</v>
      </c>
      <c r="C14">
        <v>6516</v>
      </c>
      <c r="D14" s="330">
        <v>4280</v>
      </c>
      <c r="E14">
        <v>46032</v>
      </c>
      <c r="F14">
        <v>33743</v>
      </c>
      <c r="I14" s="293"/>
      <c r="N14"/>
      <c r="Q14"/>
      <c r="T14"/>
    </row>
    <row r="15" spans="1:20" ht="12.75">
      <c r="A15" t="s">
        <v>464</v>
      </c>
      <c r="B15">
        <v>311</v>
      </c>
      <c r="C15">
        <v>4501</v>
      </c>
      <c r="D15" s="330">
        <v>3639</v>
      </c>
      <c r="E15">
        <v>6</v>
      </c>
      <c r="F15">
        <v>2</v>
      </c>
      <c r="I15" s="293"/>
      <c r="N15"/>
      <c r="Q15"/>
      <c r="T15"/>
    </row>
    <row r="16" spans="1:20" ht="12.75">
      <c r="A16" t="s">
        <v>466</v>
      </c>
      <c r="B16">
        <v>304</v>
      </c>
      <c r="C16">
        <v>1092</v>
      </c>
      <c r="D16" s="330">
        <v>383</v>
      </c>
      <c r="I16" s="293"/>
      <c r="N16"/>
      <c r="Q16"/>
      <c r="T16"/>
    </row>
    <row r="17" spans="1:20" ht="12.75">
      <c r="A17" t="s">
        <v>477</v>
      </c>
      <c r="B17">
        <v>402</v>
      </c>
      <c r="C17">
        <v>1830</v>
      </c>
      <c r="D17" s="330">
        <v>1187</v>
      </c>
      <c r="I17" s="293"/>
      <c r="N17"/>
      <c r="Q17"/>
      <c r="T17"/>
    </row>
    <row r="18" spans="1:20" ht="12.75">
      <c r="A18" t="s">
        <v>481</v>
      </c>
      <c r="B18">
        <v>405</v>
      </c>
      <c r="C18">
        <v>525</v>
      </c>
      <c r="D18" s="330">
        <v>228</v>
      </c>
      <c r="I18" s="293"/>
      <c r="N18"/>
      <c r="Q18"/>
      <c r="T18"/>
    </row>
    <row r="19" spans="1:20" ht="12.75">
      <c r="A19" t="s">
        <v>483</v>
      </c>
      <c r="B19">
        <v>460</v>
      </c>
      <c r="C19">
        <v>551</v>
      </c>
      <c r="D19" s="330">
        <v>338</v>
      </c>
      <c r="E19">
        <v>2</v>
      </c>
      <c r="F19">
        <v>2</v>
      </c>
      <c r="I19" s="293"/>
      <c r="N19"/>
      <c r="Q19"/>
      <c r="T19"/>
    </row>
    <row r="20" spans="1:20" ht="12.75">
      <c r="A20" t="s">
        <v>335</v>
      </c>
      <c r="B20">
        <v>316</v>
      </c>
      <c r="C20">
        <v>10997</v>
      </c>
      <c r="D20" s="330">
        <v>7357</v>
      </c>
      <c r="E20">
        <v>6</v>
      </c>
      <c r="F20">
        <v>5</v>
      </c>
      <c r="I20" s="293"/>
      <c r="N20"/>
      <c r="Q20"/>
      <c r="T20"/>
    </row>
    <row r="21" spans="1:20" ht="12.75">
      <c r="A21" t="s">
        <v>437</v>
      </c>
      <c r="B21">
        <v>319</v>
      </c>
      <c r="C21">
        <v>5866</v>
      </c>
      <c r="D21" s="330">
        <v>2819</v>
      </c>
      <c r="E21">
        <v>21</v>
      </c>
      <c r="F21">
        <v>20</v>
      </c>
      <c r="I21" s="293"/>
      <c r="N21"/>
      <c r="Q21"/>
      <c r="T21"/>
    </row>
    <row r="22" spans="1:20" ht="12.75">
      <c r="A22" t="s">
        <v>446</v>
      </c>
      <c r="B22">
        <v>315</v>
      </c>
      <c r="C22">
        <v>1861</v>
      </c>
      <c r="D22" s="330">
        <v>756</v>
      </c>
      <c r="E22">
        <v>4</v>
      </c>
      <c r="F22">
        <v>3</v>
      </c>
      <c r="I22" s="293"/>
      <c r="N22"/>
      <c r="Q22"/>
      <c r="T22"/>
    </row>
    <row r="23" spans="1:20" ht="12.75">
      <c r="A23" t="s">
        <v>448</v>
      </c>
      <c r="B23">
        <v>323</v>
      </c>
      <c r="C23">
        <v>3900</v>
      </c>
      <c r="D23" s="330">
        <v>1435</v>
      </c>
      <c r="E23">
        <v>17</v>
      </c>
      <c r="F23">
        <v>8</v>
      </c>
      <c r="I23" s="293"/>
      <c r="N23"/>
      <c r="Q23"/>
      <c r="T23"/>
    </row>
    <row r="24" spans="1:20" ht="12.75">
      <c r="A24" t="s">
        <v>452</v>
      </c>
      <c r="B24">
        <v>327</v>
      </c>
      <c r="C24">
        <v>5597</v>
      </c>
      <c r="D24" s="330">
        <v>4257</v>
      </c>
      <c r="E24">
        <v>7</v>
      </c>
      <c r="F24">
        <v>7</v>
      </c>
      <c r="I24" s="293"/>
      <c r="N24"/>
      <c r="Q24"/>
      <c r="T24"/>
    </row>
    <row r="25" spans="1:20" ht="12.75">
      <c r="A25" t="s">
        <v>456</v>
      </c>
      <c r="B25">
        <v>322</v>
      </c>
      <c r="C25">
        <v>7233</v>
      </c>
      <c r="D25" s="330">
        <v>4932</v>
      </c>
      <c r="E25">
        <v>12</v>
      </c>
      <c r="F25">
        <v>8</v>
      </c>
      <c r="I25" s="293"/>
      <c r="N25"/>
      <c r="Q25"/>
      <c r="T25"/>
    </row>
    <row r="26" spans="1:20" ht="12.75">
      <c r="A26" t="s">
        <v>457</v>
      </c>
      <c r="B26">
        <v>320</v>
      </c>
      <c r="C26">
        <v>6148</v>
      </c>
      <c r="D26" s="330">
        <v>3131</v>
      </c>
      <c r="E26">
        <v>50</v>
      </c>
      <c r="F26">
        <v>27</v>
      </c>
      <c r="I26" s="293"/>
      <c r="N26"/>
      <c r="Q26"/>
      <c r="T26"/>
    </row>
    <row r="27" spans="1:20" ht="12.75">
      <c r="A27" t="s">
        <v>468</v>
      </c>
      <c r="B27">
        <v>314</v>
      </c>
      <c r="C27">
        <v>9631</v>
      </c>
      <c r="D27" s="330">
        <v>6719</v>
      </c>
      <c r="E27">
        <v>18</v>
      </c>
      <c r="F27">
        <v>15</v>
      </c>
      <c r="I27" s="293"/>
      <c r="N27"/>
      <c r="Q27"/>
      <c r="T27"/>
    </row>
    <row r="28" spans="1:20" ht="12.75">
      <c r="A28" t="s">
        <v>471</v>
      </c>
      <c r="B28">
        <v>355</v>
      </c>
      <c r="C28">
        <v>2389</v>
      </c>
      <c r="D28" s="330">
        <v>1375</v>
      </c>
      <c r="E28">
        <v>6</v>
      </c>
      <c r="F28">
        <v>6</v>
      </c>
      <c r="I28" s="293"/>
      <c r="N28"/>
      <c r="Q28"/>
      <c r="T28"/>
    </row>
    <row r="29" spans="1:20" ht="12.75">
      <c r="A29" t="s">
        <v>476</v>
      </c>
      <c r="B29">
        <v>317</v>
      </c>
      <c r="C29">
        <v>16302</v>
      </c>
      <c r="D29" s="330">
        <v>10381</v>
      </c>
      <c r="E29">
        <v>39</v>
      </c>
      <c r="F29">
        <v>35</v>
      </c>
      <c r="I29" s="293"/>
      <c r="N29"/>
      <c r="Q29"/>
      <c r="T29"/>
    </row>
    <row r="30" spans="1:20" ht="12.75">
      <c r="A30" t="s">
        <v>479</v>
      </c>
      <c r="B30">
        <v>372</v>
      </c>
      <c r="C30">
        <v>172</v>
      </c>
      <c r="D30" s="330">
        <v>71</v>
      </c>
      <c r="E30">
        <v>1</v>
      </c>
      <c r="F30">
        <v>1</v>
      </c>
      <c r="I30" s="293"/>
      <c r="N30"/>
      <c r="Q30"/>
      <c r="T30"/>
    </row>
    <row r="31" spans="1:20" ht="12.75">
      <c r="A31" t="s">
        <v>484</v>
      </c>
      <c r="B31">
        <v>318</v>
      </c>
      <c r="C31">
        <v>26246</v>
      </c>
      <c r="D31" s="330">
        <v>21241</v>
      </c>
      <c r="E31">
        <v>124</v>
      </c>
      <c r="F31">
        <v>78</v>
      </c>
      <c r="I31" s="293"/>
      <c r="N31"/>
      <c r="Q31"/>
      <c r="T31"/>
    </row>
    <row r="32" spans="1:20" ht="12.75">
      <c r="A32" t="s">
        <v>435</v>
      </c>
      <c r="B32">
        <v>328</v>
      </c>
      <c r="C32">
        <v>6024</v>
      </c>
      <c r="D32" s="330">
        <v>4986</v>
      </c>
      <c r="E32">
        <v>27</v>
      </c>
      <c r="F32">
        <v>26</v>
      </c>
      <c r="I32" s="293"/>
      <c r="N32"/>
      <c r="Q32"/>
      <c r="T32"/>
    </row>
    <row r="33" spans="1:20" ht="12.75">
      <c r="A33" t="s">
        <v>439</v>
      </c>
      <c r="B33">
        <v>333</v>
      </c>
      <c r="C33">
        <v>2842</v>
      </c>
      <c r="D33" s="330">
        <v>1880</v>
      </c>
      <c r="E33">
        <v>11</v>
      </c>
      <c r="F33">
        <v>7</v>
      </c>
      <c r="I33" s="293"/>
      <c r="N33"/>
      <c r="Q33"/>
      <c r="T33"/>
    </row>
    <row r="34" spans="1:20" ht="12.75">
      <c r="A34" t="s">
        <v>441</v>
      </c>
      <c r="B34">
        <v>437</v>
      </c>
      <c r="C34">
        <v>301</v>
      </c>
      <c r="D34" s="330">
        <v>46</v>
      </c>
      <c r="I34" s="293"/>
      <c r="N34"/>
      <c r="Q34"/>
      <c r="T34"/>
    </row>
    <row r="35" spans="1:20" ht="12.75">
      <c r="A35" t="s">
        <v>445</v>
      </c>
      <c r="B35">
        <v>362</v>
      </c>
      <c r="C35">
        <v>14993</v>
      </c>
      <c r="D35" s="330">
        <v>11060</v>
      </c>
      <c r="E35">
        <v>26</v>
      </c>
      <c r="F35">
        <v>23</v>
      </c>
      <c r="I35" s="293"/>
      <c r="N35"/>
      <c r="Q35"/>
      <c r="T35"/>
    </row>
    <row r="36" spans="1:20" ht="12.75">
      <c r="A36" t="s">
        <v>449</v>
      </c>
      <c r="B36">
        <v>334</v>
      </c>
      <c r="C36">
        <v>2061</v>
      </c>
      <c r="D36" s="330">
        <v>412</v>
      </c>
      <c r="E36">
        <v>117</v>
      </c>
      <c r="F36">
        <v>114</v>
      </c>
      <c r="I36" s="293"/>
      <c r="N36"/>
      <c r="Q36"/>
      <c r="T36"/>
    </row>
    <row r="37" spans="1:20" ht="12.75">
      <c r="A37" t="s">
        <v>450</v>
      </c>
      <c r="B37">
        <v>350</v>
      </c>
      <c r="C37">
        <v>5869</v>
      </c>
      <c r="D37" s="330">
        <v>4249</v>
      </c>
      <c r="E37">
        <v>16</v>
      </c>
      <c r="F37">
        <v>10</v>
      </c>
      <c r="I37" s="293"/>
      <c r="N37"/>
      <c r="Q37"/>
      <c r="T37"/>
    </row>
    <row r="38" spans="1:20" ht="12.75">
      <c r="A38" t="s">
        <v>455</v>
      </c>
      <c r="B38">
        <v>330</v>
      </c>
      <c r="C38">
        <v>3969</v>
      </c>
      <c r="D38" s="330">
        <v>1308</v>
      </c>
      <c r="E38">
        <v>16481</v>
      </c>
      <c r="F38">
        <v>2827</v>
      </c>
      <c r="I38" s="293"/>
      <c r="N38"/>
      <c r="Q38"/>
      <c r="T38"/>
    </row>
    <row r="39" spans="1:20" ht="12.75">
      <c r="A39" t="s">
        <v>337</v>
      </c>
      <c r="B39">
        <v>351</v>
      </c>
      <c r="C39">
        <v>5586</v>
      </c>
      <c r="D39" s="330">
        <v>2050</v>
      </c>
      <c r="E39">
        <v>9</v>
      </c>
      <c r="F39">
        <v>8</v>
      </c>
      <c r="I39" s="293"/>
      <c r="N39"/>
      <c r="Q39"/>
      <c r="T39"/>
    </row>
    <row r="40" spans="1:20" ht="12.75">
      <c r="A40" t="s">
        <v>458</v>
      </c>
      <c r="B40">
        <v>321</v>
      </c>
      <c r="C40">
        <v>5577</v>
      </c>
      <c r="D40" s="330">
        <v>3687</v>
      </c>
      <c r="E40">
        <v>47</v>
      </c>
      <c r="F40">
        <v>36</v>
      </c>
      <c r="I40" s="293"/>
      <c r="N40"/>
      <c r="Q40"/>
      <c r="T40"/>
    </row>
    <row r="41" spans="1:20" ht="12.75">
      <c r="A41" t="s">
        <v>473</v>
      </c>
      <c r="B41">
        <v>438</v>
      </c>
      <c r="C41">
        <v>726</v>
      </c>
      <c r="D41" s="330">
        <v>44</v>
      </c>
      <c r="E41">
        <v>3</v>
      </c>
      <c r="F41">
        <v>2</v>
      </c>
      <c r="I41" s="293"/>
      <c r="N41"/>
      <c r="Q41"/>
      <c r="T41"/>
    </row>
    <row r="42" spans="1:20" ht="12.75">
      <c r="A42" t="s">
        <v>474</v>
      </c>
      <c r="B42">
        <v>331</v>
      </c>
      <c r="C42">
        <v>6129</v>
      </c>
      <c r="D42" s="330">
        <v>3833</v>
      </c>
      <c r="E42">
        <v>11</v>
      </c>
      <c r="F42">
        <v>9</v>
      </c>
      <c r="I42" s="293"/>
      <c r="N42"/>
      <c r="Q42"/>
      <c r="T42"/>
    </row>
    <row r="43" spans="1:20" ht="12.75">
      <c r="A43" t="s">
        <v>475</v>
      </c>
      <c r="B43">
        <v>335</v>
      </c>
      <c r="C43">
        <v>3965</v>
      </c>
      <c r="D43" s="330">
        <v>725</v>
      </c>
      <c r="E43">
        <v>32160</v>
      </c>
      <c r="F43">
        <v>20674</v>
      </c>
      <c r="I43" s="293"/>
      <c r="N43"/>
      <c r="Q43"/>
      <c r="T43"/>
    </row>
    <row r="44" spans="1:20" ht="12.75">
      <c r="A44" t="s">
        <v>478</v>
      </c>
      <c r="B44">
        <v>349</v>
      </c>
      <c r="C44">
        <v>11636</v>
      </c>
      <c r="D44" s="330">
        <v>6476</v>
      </c>
      <c r="E44">
        <v>21</v>
      </c>
      <c r="F44">
        <v>18</v>
      </c>
      <c r="I44" s="293"/>
      <c r="N44"/>
      <c r="Q44"/>
      <c r="T44"/>
    </row>
    <row r="45" spans="1:20" ht="12.75">
      <c r="A45" t="s">
        <v>482</v>
      </c>
      <c r="B45">
        <v>452</v>
      </c>
      <c r="C45">
        <v>1744</v>
      </c>
      <c r="D45" s="330">
        <v>849</v>
      </c>
      <c r="E45">
        <v>6</v>
      </c>
      <c r="F45">
        <v>4</v>
      </c>
      <c r="I45" s="293"/>
      <c r="N45"/>
      <c r="Q45"/>
      <c r="T45"/>
    </row>
    <row r="46" spans="1:20" ht="12.75">
      <c r="A46" t="s">
        <v>428</v>
      </c>
      <c r="B46">
        <v>340</v>
      </c>
      <c r="C46">
        <v>2209</v>
      </c>
      <c r="D46" s="330">
        <v>1326</v>
      </c>
      <c r="E46">
        <v>9</v>
      </c>
      <c r="F46">
        <v>7</v>
      </c>
      <c r="I46" s="293"/>
      <c r="N46"/>
      <c r="Q46"/>
      <c r="T46"/>
    </row>
    <row r="47" spans="1:20" ht="12.75">
      <c r="A47" t="s">
        <v>430</v>
      </c>
      <c r="B47">
        <v>463</v>
      </c>
      <c r="C47">
        <v>2187</v>
      </c>
      <c r="D47" s="330">
        <v>1827</v>
      </c>
      <c r="E47">
        <v>2</v>
      </c>
      <c r="F47">
        <v>2</v>
      </c>
      <c r="I47" s="293"/>
      <c r="N47"/>
      <c r="Q47"/>
      <c r="T47"/>
    </row>
    <row r="48" spans="1:20" ht="12.75">
      <c r="A48" t="s">
        <v>432</v>
      </c>
      <c r="B48">
        <v>347</v>
      </c>
      <c r="C48">
        <v>1489</v>
      </c>
      <c r="D48" s="330">
        <v>824</v>
      </c>
      <c r="E48">
        <v>1</v>
      </c>
      <c r="F48">
        <v>1</v>
      </c>
      <c r="I48" s="293"/>
      <c r="N48"/>
      <c r="Q48"/>
      <c r="T48"/>
    </row>
    <row r="49" spans="1:20" ht="12.75">
      <c r="A49" t="s">
        <v>438</v>
      </c>
      <c r="B49">
        <v>339</v>
      </c>
      <c r="C49">
        <v>6402</v>
      </c>
      <c r="D49" s="330">
        <v>3972</v>
      </c>
      <c r="E49">
        <v>10</v>
      </c>
      <c r="F49">
        <v>8</v>
      </c>
      <c r="G49">
        <v>7</v>
      </c>
      <c r="H49" s="330">
        <v>7</v>
      </c>
      <c r="I49" s="293"/>
      <c r="N49"/>
      <c r="Q49"/>
      <c r="T49"/>
    </row>
    <row r="50" spans="1:20" ht="12.75">
      <c r="A50" t="s">
        <v>434</v>
      </c>
      <c r="B50">
        <v>442</v>
      </c>
      <c r="C50">
        <v>607</v>
      </c>
      <c r="D50" s="330">
        <v>277</v>
      </c>
      <c r="E50">
        <v>1</v>
      </c>
      <c r="F50">
        <v>1</v>
      </c>
      <c r="I50" s="293"/>
      <c r="N50"/>
      <c r="Q50"/>
      <c r="T50"/>
    </row>
    <row r="51" spans="1:20" ht="12.75">
      <c r="A51" t="s">
        <v>442</v>
      </c>
      <c r="B51">
        <v>436</v>
      </c>
      <c r="C51">
        <v>1185</v>
      </c>
      <c r="D51" s="330">
        <v>663</v>
      </c>
      <c r="E51">
        <v>1</v>
      </c>
      <c r="F51">
        <v>1</v>
      </c>
      <c r="I51" s="293"/>
      <c r="N51"/>
      <c r="Q51"/>
      <c r="T51"/>
    </row>
    <row r="52" spans="1:20" ht="12.75">
      <c r="A52" t="s">
        <v>444</v>
      </c>
      <c r="B52">
        <v>459</v>
      </c>
      <c r="C52">
        <v>1892</v>
      </c>
      <c r="D52" s="330">
        <v>969</v>
      </c>
      <c r="I52" s="293"/>
      <c r="N52"/>
      <c r="Q52"/>
      <c r="T52"/>
    </row>
    <row r="53" spans="1:20" ht="12.75">
      <c r="A53" t="s">
        <v>451</v>
      </c>
      <c r="B53">
        <v>344</v>
      </c>
      <c r="C53">
        <v>6578</v>
      </c>
      <c r="D53" s="330">
        <v>5039</v>
      </c>
      <c r="E53">
        <v>3</v>
      </c>
      <c r="F53">
        <v>3</v>
      </c>
      <c r="I53" s="293"/>
      <c r="N53"/>
      <c r="Q53"/>
      <c r="T53"/>
    </row>
    <row r="54" spans="1:20" ht="12.75">
      <c r="A54" t="s">
        <v>454</v>
      </c>
      <c r="B54">
        <v>358</v>
      </c>
      <c r="C54">
        <v>1321</v>
      </c>
      <c r="D54" s="330">
        <v>429</v>
      </c>
      <c r="E54">
        <v>107</v>
      </c>
      <c r="F54">
        <v>27</v>
      </c>
      <c r="I54" s="293"/>
      <c r="N54"/>
      <c r="Q54"/>
      <c r="T54"/>
    </row>
    <row r="55" spans="1:20" ht="12.75">
      <c r="A55" t="s">
        <v>461</v>
      </c>
      <c r="B55">
        <v>343</v>
      </c>
      <c r="C55">
        <v>11260</v>
      </c>
      <c r="D55" s="330">
        <v>7639</v>
      </c>
      <c r="E55">
        <v>12</v>
      </c>
      <c r="F55">
        <v>12</v>
      </c>
      <c r="I55" s="293"/>
      <c r="N55"/>
      <c r="Q55"/>
      <c r="T55"/>
    </row>
    <row r="56" spans="1:20" ht="12.75">
      <c r="A56" t="s">
        <v>463</v>
      </c>
      <c r="B56">
        <v>345</v>
      </c>
      <c r="C56">
        <v>6368</v>
      </c>
      <c r="D56" s="330">
        <v>4254</v>
      </c>
      <c r="E56">
        <v>5</v>
      </c>
      <c r="F56">
        <v>4</v>
      </c>
      <c r="I56" s="293"/>
      <c r="N56"/>
      <c r="Q56"/>
      <c r="T56"/>
    </row>
    <row r="57" spans="1:20" ht="12.75">
      <c r="A57" t="s">
        <v>465</v>
      </c>
      <c r="B57">
        <v>348</v>
      </c>
      <c r="C57">
        <v>5994</v>
      </c>
      <c r="D57" s="330">
        <v>4021</v>
      </c>
      <c r="E57">
        <v>21</v>
      </c>
      <c r="F57">
        <v>13</v>
      </c>
      <c r="I57" s="293"/>
      <c r="N57"/>
      <c r="Q57"/>
      <c r="T57"/>
    </row>
    <row r="58" spans="1:20" ht="12.75">
      <c r="A58" t="s">
        <v>467</v>
      </c>
      <c r="B58">
        <v>354</v>
      </c>
      <c r="C58">
        <v>2598</v>
      </c>
      <c r="D58" s="330">
        <v>1827</v>
      </c>
      <c r="E58">
        <v>1</v>
      </c>
      <c r="F58">
        <v>1</v>
      </c>
      <c r="I58" s="293"/>
      <c r="N58"/>
      <c r="Q58"/>
      <c r="T58"/>
    </row>
    <row r="59" spans="1:20" ht="12.75">
      <c r="A59" t="s">
        <v>469</v>
      </c>
      <c r="B59">
        <v>341</v>
      </c>
      <c r="C59">
        <v>8900</v>
      </c>
      <c r="D59" s="330">
        <v>7386</v>
      </c>
      <c r="E59">
        <v>37</v>
      </c>
      <c r="F59">
        <v>23</v>
      </c>
      <c r="I59" s="293"/>
      <c r="N59"/>
      <c r="Q59"/>
      <c r="T59"/>
    </row>
    <row r="60" spans="1:20" ht="12.75">
      <c r="A60" t="s">
        <v>470</v>
      </c>
      <c r="B60">
        <v>377</v>
      </c>
      <c r="C60">
        <v>7054</v>
      </c>
      <c r="D60" s="330">
        <v>4611</v>
      </c>
      <c r="E60">
        <v>29</v>
      </c>
      <c r="F60">
        <v>23</v>
      </c>
      <c r="I60" s="293"/>
      <c r="N60"/>
      <c r="Q60"/>
      <c r="T60"/>
    </row>
    <row r="61" spans="1:20" ht="12.75">
      <c r="A61" t="s">
        <v>472</v>
      </c>
      <c r="B61">
        <v>346</v>
      </c>
      <c r="C61">
        <v>13757</v>
      </c>
      <c r="D61" s="330">
        <v>10381</v>
      </c>
      <c r="E61">
        <v>14</v>
      </c>
      <c r="F61">
        <v>12</v>
      </c>
      <c r="I61" s="293"/>
      <c r="N61"/>
      <c r="Q61"/>
      <c r="T61"/>
    </row>
    <row r="62" spans="1:20" ht="12.75">
      <c r="A62" t="s">
        <v>480</v>
      </c>
      <c r="B62">
        <v>101</v>
      </c>
      <c r="C62">
        <v>2</v>
      </c>
      <c r="D62" s="330">
        <v>2</v>
      </c>
      <c r="I62" s="293"/>
      <c r="N62"/>
      <c r="Q62"/>
      <c r="T62"/>
    </row>
    <row r="63" spans="1:20" ht="12.75">
      <c r="A63" t="s">
        <v>539</v>
      </c>
      <c r="B63">
        <v>376</v>
      </c>
      <c r="N63"/>
      <c r="Q63"/>
      <c r="T63"/>
    </row>
    <row r="64" spans="1:20" ht="12.75">
      <c r="A64" t="s">
        <v>429</v>
      </c>
      <c r="B64">
        <v>397</v>
      </c>
      <c r="C64">
        <v>50</v>
      </c>
      <c r="D64" s="330">
        <v>4</v>
      </c>
      <c r="N64"/>
      <c r="Q64"/>
      <c r="T64"/>
    </row>
    <row r="65" spans="14:20" ht="12.75">
      <c r="N65"/>
      <c r="Q65"/>
      <c r="T65"/>
    </row>
    <row r="66" spans="14:20" ht="12.75">
      <c r="N66"/>
      <c r="Q66"/>
      <c r="T66"/>
    </row>
    <row r="67" spans="10:20" ht="12.75">
      <c r="J67" s="332"/>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0" customWidth="1"/>
    <col min="3" max="3" width="25.57421875" style="0" bestFit="1" customWidth="1"/>
    <col min="5" max="5" width="14.28125" style="330" bestFit="1" customWidth="1"/>
    <col min="6" max="6" width="22.28125" style="0" customWidth="1"/>
    <col min="7" max="7" width="16.7109375" style="330" customWidth="1"/>
    <col min="8" max="8" width="13.8515625" style="0" customWidth="1"/>
    <col min="10" max="10" width="17.140625" style="0" customWidth="1"/>
    <col min="11" max="11" width="11.8515625" style="0" customWidth="1"/>
    <col min="12" max="12" width="8.8515625" style="330" customWidth="1"/>
    <col min="13" max="13" width="7.57421875" style="0" customWidth="1"/>
    <col min="14" max="14" width="18.57421875" style="0" customWidth="1"/>
    <col min="15" max="15" width="24.57421875" style="330" customWidth="1"/>
    <col min="16" max="16" width="7.57421875" style="355" customWidth="1"/>
    <col min="17" max="17" width="18.57421875" style="0" customWidth="1"/>
    <col min="18" max="18" width="24.57421875" style="0" customWidth="1"/>
  </cols>
  <sheetData>
    <row r="1" spans="1:18" ht="12.75">
      <c r="A1" s="335" t="s">
        <v>496</v>
      </c>
      <c r="B1" s="335"/>
      <c r="C1" s="467" t="s">
        <v>555</v>
      </c>
      <c r="D1" s="467"/>
      <c r="E1" s="467"/>
      <c r="F1" s="467" t="s">
        <v>497</v>
      </c>
      <c r="G1" s="467"/>
      <c r="H1" s="467" t="s">
        <v>568</v>
      </c>
      <c r="I1" s="467"/>
      <c r="J1" s="467" t="s">
        <v>579</v>
      </c>
      <c r="K1" s="467"/>
      <c r="L1" s="467"/>
      <c r="M1" s="292" t="s">
        <v>548</v>
      </c>
      <c r="N1" s="292" t="s">
        <v>580</v>
      </c>
      <c r="O1" s="329" t="s">
        <v>556</v>
      </c>
      <c r="P1" s="331" t="s">
        <v>548</v>
      </c>
      <c r="Q1" s="292" t="s">
        <v>580</v>
      </c>
      <c r="R1" s="292" t="s">
        <v>556</v>
      </c>
    </row>
    <row r="2" spans="1:18" ht="12.75">
      <c r="A2" t="s">
        <v>175</v>
      </c>
      <c r="B2" s="330">
        <f>SUM(B3:B4)</f>
        <v>52</v>
      </c>
      <c r="C2" t="s">
        <v>546</v>
      </c>
      <c r="D2">
        <f>SUM(D4:D5)</f>
        <v>6409</v>
      </c>
      <c r="F2" t="s">
        <v>175</v>
      </c>
      <c r="G2" s="330">
        <f>SUM(G3:G4)</f>
        <v>6</v>
      </c>
      <c r="H2" t="s">
        <v>175</v>
      </c>
      <c r="J2" t="s">
        <v>182</v>
      </c>
      <c r="K2" t="s">
        <v>462</v>
      </c>
      <c r="L2" s="330">
        <f>IF(ISNA(VLOOKUP(K2,'Award Adjustment_Data'!$A$2:$I$69,3,FALSE)),"0",(VLOOKUP(K2,'Award Adjustment_Data'!$A$2:$I$69,3,FALSE)))</f>
        <v>6516</v>
      </c>
      <c r="M2">
        <v>310</v>
      </c>
      <c r="N2">
        <v>135</v>
      </c>
      <c r="O2" s="330">
        <v>686</v>
      </c>
      <c r="P2" s="293">
        <v>310</v>
      </c>
      <c r="Q2">
        <v>135</v>
      </c>
      <c r="R2">
        <v>341</v>
      </c>
    </row>
    <row r="3" spans="1:18" ht="12.75">
      <c r="A3" t="s">
        <v>480</v>
      </c>
      <c r="B3" s="330">
        <f>VLOOKUP(A3,'Award Adjustment_Data'!A$3:K$65,3,FALSE)</f>
        <v>2</v>
      </c>
      <c r="C3" t="s">
        <v>547</v>
      </c>
      <c r="D3">
        <f>SUM(D6:D7)</f>
        <v>3979</v>
      </c>
      <c r="F3" t="s">
        <v>480</v>
      </c>
      <c r="G3" s="337">
        <f>IF(ISNA(VLOOKUP(F3,'Award Adjustment_Data'!A2:H69,4,FALSE)),"0",(VLOOKUP(F3,'Award Adjustment_Data'!A2:H69,4,FALSE)))</f>
        <v>2</v>
      </c>
      <c r="H3" t="s">
        <v>480</v>
      </c>
      <c r="I3" s="337" t="str">
        <f>IF(ISNA(VLOOKUP(H3,'Award Adjustment_Data'!C2:J69,5,FALSE)),"0",(VLOOKUP(H3,'Award Adjustment_Data'!C2:J69,5,FALSE)))</f>
        <v>0</v>
      </c>
      <c r="J3" s="358"/>
      <c r="K3" t="s">
        <v>455</v>
      </c>
      <c r="L3" s="330">
        <f>IF(ISNA(VLOOKUP(K3,'Award Adjustment_Data'!$A$2:$I$69,3,FALSE)),"0",(VLOOKUP(K3,'Award Adjustment_Data'!$A$2:$I$69,3,FALSE)))</f>
        <v>3969</v>
      </c>
      <c r="M3">
        <v>330</v>
      </c>
      <c r="N3">
        <v>135</v>
      </c>
      <c r="O3" s="330">
        <v>487</v>
      </c>
      <c r="P3" s="293">
        <v>330</v>
      </c>
      <c r="Q3">
        <v>135</v>
      </c>
      <c r="R3">
        <v>22</v>
      </c>
    </row>
    <row r="4" spans="1:18" ht="12.75">
      <c r="A4" t="s">
        <v>429</v>
      </c>
      <c r="B4" s="330">
        <f>VLOOKUP(A4,'Award Adjustment_Data'!A$3:K$65,3,FALSE)</f>
        <v>50</v>
      </c>
      <c r="C4" t="s">
        <v>438</v>
      </c>
      <c r="D4">
        <f>VLOOKUP(C4,'Award Adjustment_Data'!A3:G66,3,FALSE)</f>
        <v>6402</v>
      </c>
      <c r="E4" s="330" t="s">
        <v>491</v>
      </c>
      <c r="F4" t="s">
        <v>429</v>
      </c>
      <c r="G4" s="337">
        <f>IF(ISNA(VLOOKUP(F4,'Award Adjustment_Data'!A2:H69,4,FALSE)),"0",(VLOOKUP(F4,'Award Adjustment_Data'!A2:H69,4,FALSE)))</f>
        <v>4</v>
      </c>
      <c r="H4" t="s">
        <v>429</v>
      </c>
      <c r="I4" s="337" t="str">
        <f>IF(ISNA(VLOOKUP(H4,'Award Adjustment_Data'!C3:J70,5,FALSE)),"0",(VLOOKUP(H4,'Award Adjustment_Data'!C3:J70,5,FALSE)))</f>
        <v>0</v>
      </c>
      <c r="J4" s="358"/>
      <c r="K4" t="s">
        <v>475</v>
      </c>
      <c r="L4" s="330">
        <f>IF(ISNA(VLOOKUP(K4,'Award Adjustment_Data'!$A$2:$I$69,3,FALSE)),"0",(VLOOKUP(K4,'Award Adjustment_Data'!$A$2:$I$69,3,FALSE)))</f>
        <v>3965</v>
      </c>
      <c r="M4">
        <v>335</v>
      </c>
      <c r="N4">
        <v>135</v>
      </c>
      <c r="O4" s="330">
        <v>644</v>
      </c>
      <c r="P4" s="293">
        <v>335</v>
      </c>
      <c r="Q4">
        <v>135</v>
      </c>
      <c r="R4">
        <v>295</v>
      </c>
    </row>
    <row r="5" spans="3:12" ht="12.75">
      <c r="C5" t="s">
        <v>438</v>
      </c>
      <c r="D5">
        <f>VLOOKUP(C4,'Award Adjustment_Data'!A2:G69,7,FALSE)</f>
        <v>7</v>
      </c>
      <c r="E5" s="330" t="s">
        <v>489</v>
      </c>
      <c r="J5" t="s">
        <v>581</v>
      </c>
      <c r="K5" t="s">
        <v>462</v>
      </c>
      <c r="L5" s="330">
        <f>IF(ISNA(VLOOKUP(K5,'Award Adjustment_Data'!$A$2:$I$69,4,FALSE)),"0",(VLOOKUP(K5,'Award Adjustment_Data'!$A$2:$I$69,4,FALSE)))</f>
        <v>4280</v>
      </c>
    </row>
    <row r="6" spans="3:12" ht="12.75">
      <c r="C6" t="s">
        <v>438</v>
      </c>
      <c r="D6">
        <f>VLOOKUP(C6,'Award Adjustment_Data'!A5:G68,4,FALSE)</f>
        <v>3972</v>
      </c>
      <c r="E6" s="330" t="s">
        <v>554</v>
      </c>
      <c r="K6" t="s">
        <v>455</v>
      </c>
      <c r="L6" s="330">
        <f>IF(ISNA(VLOOKUP(K6,'Award Adjustment_Data'!$A$2:$I$69,4,FALSE)),"0",(VLOOKUP(K6,'Award Adjustment_Data'!$A$2:$I$69,4,FALSE)))</f>
        <v>1308</v>
      </c>
    </row>
    <row r="7" spans="3:12" ht="12.75">
      <c r="C7" t="s">
        <v>438</v>
      </c>
      <c r="D7">
        <f>VLOOKUP(C6,'Award Adjustment_Data'!A4:H71,8,FALSE)</f>
        <v>7</v>
      </c>
      <c r="E7" s="330" t="s">
        <v>553</v>
      </c>
      <c r="K7" t="s">
        <v>475</v>
      </c>
      <c r="L7" s="330">
        <f>IF(ISNA(VLOOKUP(K7,'Award Adjustment_Data'!$A$2:$I$69,3,FALSE)),"0",(VLOOKUP(K7,'Award Adjustment_Data'!$A$2:$I$69,4,FALSE)))</f>
        <v>725</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29, 2012 Monday Morning Workload Report (Office of Performance Analysis and Integrity)</dc:title>
  <dc:subject>December 29, 2012-Monday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2013-01-16T18:56:07Z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20121231</vt:lpwstr>
  </property>
  <property fmtid="{D5CDD505-2E9C-101B-9397-08002B2CF9AE}" pid="6" name="Type">
    <vt:lpwstr>Report</vt:lpwstr>
  </property>
</Properties>
</file>